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- gavrush\___СМЕТНАЯ ДОКУМЕНТАЦИЯ\ТОРГИ\31_МИРЭК\АРТЕМ\"/>
    </mc:Choice>
  </mc:AlternateContent>
  <bookViews>
    <workbookView xWindow="480" yWindow="75" windowWidth="11340" windowHeight="9345"/>
  </bookViews>
  <sheets>
    <sheet name="Т" sheetId="5" r:id="rId1"/>
    <sheet name="расчет 1" sheetId="2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Т!$14:$14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'расчет 1'!$A:$L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H11" i="2" l="1"/>
  <c r="H13" i="2"/>
  <c r="H12" i="2"/>
  <c r="G46" i="5" l="1"/>
  <c r="G41" i="5"/>
  <c r="K13" i="2"/>
  <c r="J13" i="2"/>
  <c r="I13" i="2"/>
  <c r="K12" i="2"/>
  <c r="J12" i="2"/>
  <c r="I12" i="2"/>
  <c r="K11" i="2"/>
  <c r="J11" i="2"/>
  <c r="I11" i="2"/>
  <c r="F13" i="2" l="1"/>
  <c r="G13" i="2" s="1"/>
  <c r="F18" i="5" s="1"/>
  <c r="F12" i="2"/>
  <c r="G12" i="2" s="1"/>
  <c r="F17" i="5" s="1"/>
  <c r="H45" i="5"/>
  <c r="E18" i="5" l="1"/>
  <c r="H18" i="5" s="1"/>
  <c r="E17" i="5"/>
  <c r="H17" i="5" s="1"/>
  <c r="L13" i="2"/>
  <c r="N13" i="2" s="1"/>
  <c r="M13" i="2" l="1"/>
  <c r="E29" i="5" s="1"/>
  <c r="L12" i="2"/>
  <c r="M12" i="2" s="1"/>
  <c r="D37" i="5" l="1"/>
  <c r="H37" i="5" s="1"/>
  <c r="N12" i="2"/>
  <c r="E28" i="5" s="1"/>
  <c r="H28" i="5" s="1"/>
  <c r="D36" i="5"/>
  <c r="H36" i="5" s="1"/>
  <c r="F11" i="2" l="1"/>
  <c r="B7" i="2" l="1"/>
  <c r="G11" i="2" l="1"/>
  <c r="J14" i="2" l="1"/>
  <c r="H14" i="2"/>
  <c r="K14" i="2"/>
  <c r="I14" i="2"/>
  <c r="E16" i="5" l="1"/>
  <c r="E19" i="5" s="1"/>
  <c r="F16" i="5"/>
  <c r="F19" i="5" s="1"/>
  <c r="L14" i="2"/>
  <c r="L11" i="2"/>
  <c r="N11" i="2" l="1"/>
  <c r="N14" i="2" s="1"/>
  <c r="M11" i="2"/>
  <c r="M14" i="2" s="1"/>
  <c r="H29" i="5" l="1"/>
  <c r="E27" i="5"/>
  <c r="D35" i="5"/>
  <c r="D38" i="5" s="1"/>
  <c r="E30" i="5" l="1"/>
  <c r="H44" i="5"/>
  <c r="H43" i="5"/>
  <c r="G38" i="5"/>
  <c r="F38" i="5"/>
  <c r="E38" i="5"/>
  <c r="G30" i="5"/>
  <c r="F30" i="5"/>
  <c r="D30" i="5"/>
  <c r="H21" i="5"/>
  <c r="G19" i="5"/>
  <c r="G23" i="5" s="1"/>
  <c r="G25" i="5" s="1"/>
  <c r="G31" i="5" s="1"/>
  <c r="D19" i="5"/>
  <c r="D23" i="5" s="1"/>
  <c r="D25" i="5" s="1"/>
  <c r="G39" i="5" l="1"/>
  <c r="D31" i="5"/>
  <c r="D39" i="5" s="1"/>
  <c r="D41" i="5" s="1"/>
  <c r="D46" i="5" s="1"/>
  <c r="D47" i="5" s="1"/>
  <c r="F23" i="5" l="1"/>
  <c r="F25" i="5" s="1"/>
  <c r="F31" i="5" s="1"/>
  <c r="F39" i="5" s="1"/>
  <c r="F41" i="5" s="1"/>
  <c r="F46" i="5" s="1"/>
  <c r="D48" i="5" l="1"/>
  <c r="H16" i="5"/>
  <c r="H19" i="5" l="1"/>
  <c r="E23" i="5"/>
  <c r="F47" i="5" l="1"/>
  <c r="F48" i="5" s="1"/>
  <c r="E25" i="5"/>
  <c r="H23" i="5"/>
  <c r="H25" i="5" l="1"/>
  <c r="H30" i="5"/>
  <c r="H27" i="5"/>
  <c r="H35" i="5"/>
  <c r="H33" i="5"/>
  <c r="H38" i="5" l="1"/>
  <c r="E31" i="5"/>
  <c r="E39" i="5" s="1"/>
  <c r="E41" i="5" s="1"/>
  <c r="E46" i="5" s="1"/>
  <c r="G47" i="5" l="1"/>
  <c r="G48" i="5" s="1"/>
  <c r="H31" i="5"/>
  <c r="E47" i="5" l="1"/>
  <c r="H47" i="5" s="1"/>
  <c r="H46" i="5"/>
  <c r="H39" i="5"/>
  <c r="E48" i="5" l="1"/>
  <c r="H48" i="5" s="1"/>
  <c r="H41" i="5"/>
  <c r="H42" i="5" l="1"/>
</calcChain>
</file>

<file path=xl/sharedStrings.xml><?xml version="1.0" encoding="utf-8"?>
<sst xmlns="http://schemas.openxmlformats.org/spreadsheetml/2006/main" count="120" uniqueCount="98">
  <si>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</si>
  <si>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</si>
  <si>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</si>
  <si>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</si>
  <si>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</si>
  <si>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</si>
  <si>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</si>
  <si>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</si>
  <si>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</si>
  <si>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</si>
  <si>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</si>
  <si>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</si>
  <si>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</si>
  <si>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</si>
  <si>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</si>
  <si>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</si>
  <si>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</si>
  <si>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</si>
  <si>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</si>
  <si>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</si>
  <si>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</si>
  <si>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Приложение Т</t>
  </si>
  <si>
    <t>ПИР</t>
  </si>
  <si>
    <t>СМР</t>
  </si>
  <si>
    <t>d+1</t>
  </si>
  <si>
    <t>-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</si>
  <si>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</si>
  <si>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</si>
  <si>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</si>
  <si>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</si>
  <si>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</si>
  <si>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</si>
  <si>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</si>
  <si>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Для ВЛ: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</si>
  <si>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</si>
  <si>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</si>
  <si>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</si>
  <si>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</si>
  <si>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</si>
  <si>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</si>
  <si>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</si>
  <si>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</si>
  <si>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</si>
  <si>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</si>
  <si>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</si>
  <si>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</si>
  <si>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</si>
  <si>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</si>
  <si>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</si>
  <si>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</si>
  <si>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</si>
  <si>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</si>
  <si>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</si>
  <si>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</si>
  <si>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</si>
  <si>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d+2</t>
  </si>
  <si>
    <t>d+3</t>
  </si>
  <si>
    <t>d</t>
  </si>
  <si>
    <t>МРСК</t>
  </si>
  <si>
    <t>СМЕТНЫЙ РАСЧЕТ</t>
  </si>
  <si>
    <t>Коэффициента учитывающего общий объем финансовых потребностей по сборнику УНЦ</t>
  </si>
  <si>
    <t>1,12 - при изменении конструктивных решений, проводав, кабелей более 50%</t>
  </si>
  <si>
    <t>табл. 2</t>
  </si>
  <si>
    <t>1,018 - коэффициент , учитывающий работу вблизи объектов, находящихся под высоким напряжениемпри изменении конструктивных решений, проводав, кабелей более 50%</t>
  </si>
  <si>
    <t>1,013 -коэффициент, учитывающий работу в условиях городской и промышленной застройки</t>
  </si>
  <si>
    <t>1,053 -коэффициент, учитывающий работу в условиях болотистой трассы</t>
  </si>
  <si>
    <t>1,028 -коэффициент, учитывающий работу в условиях распутицы, в пойме реки</t>
  </si>
  <si>
    <t>1.2.</t>
  </si>
  <si>
    <t>по п.1.6.</t>
  </si>
  <si>
    <t>1.3.</t>
  </si>
  <si>
    <t>по таблице  4</t>
  </si>
  <si>
    <t xml:space="preserve">Реконструкция распределительных сетей 0,4 кВ Артемовского ГО (ВЛ-0,4 кВ - 4км) </t>
  </si>
  <si>
    <t>1,5% - непредвиденные затраты (при согласовании с заказчиком до 10%)</t>
  </si>
  <si>
    <t>К=1,322=((1,5+2,5+7,5+5+1,5)/100+1)*1,12</t>
  </si>
  <si>
    <t>Итого  по сводному расчету в ценах 4 квартала 2020 года без НДС</t>
  </si>
  <si>
    <t>Составлена в ценах по состоянию на 4 кв. 2020 год и прогнозном уровне цен 2021 год</t>
  </si>
  <si>
    <t>Общая сметная стоимость, руб.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</si>
  <si>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Ф-1 от ТП №5039 п.Олений </t>
    </r>
  </si>
  <si>
    <t xml:space="preserve">ПИР  ВЛ-0,4 кВ Ф-1 от ТП №5039 п.Олений 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</si>
  <si>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Ф-3 от ТП №5038 п.Олений </t>
    </r>
  </si>
  <si>
    <t xml:space="preserve">ПИР  ВЛ-0,4 кВ Ф-3 от ТП №5038 п.Олений </t>
  </si>
  <si>
    <t xml:space="preserve">    Проектная документация учтена в стадии рабочей документации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</si>
  <si>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</si>
  <si>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</si>
  <si>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НДС 20%</t>
  </si>
  <si>
    <t>ПИР  ВЛ-0,4 кВ Ф-1,2,3 от ТП-5006 п. Кневичи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</si>
  <si>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ВЛ-0,4 кВ Ф-1,2,3 от ТП-5006 п. Кневичи</t>
    </r>
  </si>
  <si>
    <t>Справочно стоимость объекта в прогнозных ценах без НДС</t>
  </si>
  <si>
    <t>ИТОГО стоимость в прогнозных ценах без НДС</t>
  </si>
  <si>
    <t>ВСЕГО стоимость в прогнозных ценах с НДС</t>
  </si>
  <si>
    <t>СМР , руб.</t>
  </si>
  <si>
    <t>ВЛ-0,4 кВ Ф-1,2,3 от ТП-5006 (свободностоящая)  СИП 70 ж/б, км
без учета стоек опор ж/б СВ 95-3 37 шт. и провода СИП - 2,5 км.</t>
  </si>
  <si>
    <t>Ф-1 от ТП №5039 (свободностоящая)  СИП 70 ж/б, км
без учета стоек опор ж/б СВ 95-3 24 шт. и провода СИП - 0,8 км.</t>
  </si>
  <si>
    <t>Ф-3 от ТП №5038 (свободностоящая)  СИП 70 ж/б, км
без учета стоек опор ж/б СВ 95-3 81 шт. и провода СИП - 4 км.</t>
  </si>
  <si>
    <t>Реконструкция ВЛ-0,4 кВ Ф-1,2,3 от ТП-5006 п. Кневичи
без учета стоек опор ж/б СВ 95-3 37 шт. и провода СИП - 2,5 км.</t>
  </si>
  <si>
    <t>Реконструкция ВЛ-0,4 кВ Ф-1 от ТП №5039 п. Олений
без учета стоек опор ж/б СВ 95-3 24 шт. и провода СИП - 0,8 км.</t>
  </si>
  <si>
    <t>Реконструкция ВЛ-0,4 кВ Ф-3 от ТП №5038 п. Олений
без учета стоек опор ж/б СВ 95-3 81 шт. и провода СИП - 4 км.</t>
  </si>
  <si>
    <t>Сметная стоимость,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</si>
</sst>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#,##0.00000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979">
    <xf numFmtId="0" fontId="0" fillId="0" borderId="0"/>
    <xf numFmtId="0" fontId="7" fillId="0" borderId="0"/>
    <xf numFmtId="0" fontId="14" fillId="0" borderId="0"/>
    <xf numFmtId="0" fontId="9" fillId="0" borderId="0"/>
    <xf numFmtId="0" fontId="13" fillId="0" borderId="0"/>
    <xf numFmtId="0" fontId="15" fillId="0" borderId="0"/>
    <xf numFmtId="38" fontId="16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7" fillId="0" borderId="0"/>
    <xf numFmtId="0" fontId="18" fillId="0" borderId="0">
      <alignment horizontal="left" vertical="top"/>
    </xf>
    <xf numFmtId="166" fontId="7" fillId="0" borderId="0" applyFont="0" applyFill="0" applyBorder="0" applyAlignment="0" applyProtection="0"/>
    <xf numFmtId="0" fontId="10" fillId="0" borderId="0">
      <alignment horizontal="right" vertical="top" wrapText="1"/>
    </xf>
    <xf numFmtId="0" fontId="10" fillId="0" borderId="2">
      <alignment horizontal="center" wrapText="1"/>
    </xf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2" applyBorder="0" applyAlignment="0">
      <alignment horizontal="center" wrapText="1"/>
    </xf>
    <xf numFmtId="9" fontId="7" fillId="0" borderId="0" applyFont="0" applyFill="0" applyBorder="0" applyAlignment="0" applyProtection="0"/>
    <xf numFmtId="0" fontId="19" fillId="0" borderId="0"/>
    <xf numFmtId="0" fontId="10" fillId="0" borderId="0">
      <alignment horizontal="center"/>
    </xf>
    <xf numFmtId="165" fontId="7" fillId="0" borderId="0" applyFont="0" applyFill="0" applyBorder="0" applyAlignment="0" applyProtection="0"/>
    <xf numFmtId="40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>
      <alignment horizontal="left" vertical="top"/>
    </xf>
    <xf numFmtId="0" fontId="6" fillId="0" borderId="0"/>
    <xf numFmtId="0" fontId="29" fillId="0" borderId="0"/>
    <xf numFmtId="0" fontId="8" fillId="0" borderId="0"/>
    <xf numFmtId="0" fontId="8" fillId="0" borderId="0"/>
    <xf numFmtId="0" fontId="9" fillId="0" borderId="0"/>
    <xf numFmtId="0" fontId="14" fillId="0" borderId="0"/>
    <xf numFmtId="173" fontId="8" fillId="0" borderId="0" applyFont="0" applyFill="0" applyBorder="0" applyAlignment="0" applyProtection="0"/>
    <xf numFmtId="0" fontId="30" fillId="0" borderId="0"/>
    <xf numFmtId="0" fontId="30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174" fontId="32" fillId="0" borderId="0">
      <alignment vertical="top"/>
    </xf>
    <xf numFmtId="0" fontId="31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8" borderId="0" applyNumberFormat="0" applyBorder="0" applyAlignment="0" applyProtection="0"/>
    <xf numFmtId="0" fontId="33" fillId="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174" fontId="35" fillId="23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4" borderId="0">
      <alignment horizontal="right" vertical="top"/>
    </xf>
    <xf numFmtId="0" fontId="8" fillId="0" borderId="0"/>
    <xf numFmtId="0" fontId="8" fillId="0" borderId="0"/>
    <xf numFmtId="0" fontId="41" fillId="25" borderId="0"/>
    <xf numFmtId="176" fontId="36" fillId="0" borderId="0">
      <alignment vertical="top"/>
    </xf>
    <xf numFmtId="0" fontId="10" fillId="0" borderId="2">
      <alignment horizontal="center"/>
    </xf>
    <xf numFmtId="0" fontId="7" fillId="0" borderId="0">
      <alignment vertical="top"/>
    </xf>
    <xf numFmtId="0" fontId="34" fillId="2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10" fillId="0" borderId="2">
      <alignment horizontal="center"/>
    </xf>
    <xf numFmtId="0" fontId="10" fillId="0" borderId="0">
      <alignment vertical="top"/>
    </xf>
    <xf numFmtId="0" fontId="43" fillId="14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4" fillId="14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5" fillId="0" borderId="0" applyBorder="0">
      <alignment horizontal="center" vertical="center" wrapText="1"/>
    </xf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  <xf numFmtId="0" fontId="48" fillId="0" borderId="12" applyNumberFormat="0" applyFill="0" applyAlignment="0" applyProtection="0"/>
    <xf numFmtId="0" fontId="49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5" applyBorder="0">
      <alignment horizontal="center" vertical="center" wrapText="1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0" fontId="7" fillId="0" borderId="0"/>
    <xf numFmtId="0" fontId="54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7" fillId="0" borderId="0">
      <alignment vertical="top"/>
    </xf>
    <xf numFmtId="0" fontId="7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7" fillId="0" borderId="0"/>
    <xf numFmtId="0" fontId="6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0" fillId="0" borderId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3" fillId="0" borderId="0"/>
    <xf numFmtId="0" fontId="5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3" fillId="0" borderId="0"/>
    <xf numFmtId="0" fontId="33" fillId="0" borderId="0"/>
    <xf numFmtId="0" fontId="8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2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0" fillId="10" borderId="19" applyNumberFormat="0" applyFont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66" fillId="10" borderId="19" applyNumberFormat="0" applyFont="0" applyAlignment="0" applyProtection="0"/>
    <xf numFmtId="0" fontId="33" fillId="10" borderId="19" applyNumberFormat="0" applyFont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2">
      <alignment horizontal="center"/>
    </xf>
    <xf numFmtId="0" fontId="7" fillId="0" borderId="0"/>
    <xf numFmtId="0" fontId="10" fillId="0" borderId="2">
      <alignment horizontal="center" wrapText="1"/>
    </xf>
    <xf numFmtId="0" fontId="7" fillId="0" borderId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174" fontId="32" fillId="0" borderId="0">
      <alignment vertical="top"/>
    </xf>
    <xf numFmtId="0" fontId="15" fillId="0" borderId="0"/>
    <xf numFmtId="0" fontId="15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3" borderId="0" applyBorder="0">
      <alignment horizontal="right"/>
    </xf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" fillId="0" borderId="0"/>
    <xf numFmtId="0" fontId="10" fillId="0" borderId="0"/>
    <xf numFmtId="167" fontId="9" fillId="0" borderId="0" applyFont="0" applyFill="0" applyBorder="0" applyAlignment="0" applyProtection="0"/>
    <xf numFmtId="0" fontId="9" fillId="0" borderId="0"/>
    <xf numFmtId="0" fontId="29" fillId="0" borderId="0"/>
    <xf numFmtId="0" fontId="5" fillId="0" borderId="0"/>
    <xf numFmtId="0" fontId="4" fillId="0" borderId="0"/>
    <xf numFmtId="0" fontId="3" fillId="0" borderId="0"/>
    <xf numFmtId="0" fontId="9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1"/>
    <xf numFmtId="0" fontId="11" fillId="0" borderId="2" xfId="1" applyFont="1" applyBorder="1" applyAlignment="1">
      <alignment wrapText="1"/>
    </xf>
    <xf numFmtId="0" fontId="20" fillId="0" borderId="0" xfId="33" applyFont="1"/>
    <xf numFmtId="0" fontId="21" fillId="0" borderId="0" xfId="33" applyFont="1"/>
    <xf numFmtId="0" fontId="21" fillId="0" borderId="0" xfId="33" applyFont="1" applyAlignment="1">
      <alignment horizontal="right"/>
    </xf>
    <xf numFmtId="0" fontId="22" fillId="0" borderId="0" xfId="33" applyFont="1"/>
    <xf numFmtId="49" fontId="22" fillId="0" borderId="0" xfId="33" applyNumberFormat="1" applyFont="1" applyAlignment="1">
      <alignment horizontal="right" vertical="center"/>
    </xf>
    <xf numFmtId="0" fontId="22" fillId="0" borderId="0" xfId="33" applyFont="1" applyAlignment="1">
      <alignment horizontal="right"/>
    </xf>
    <xf numFmtId="0" fontId="23" fillId="0" borderId="0" xfId="33" applyFont="1"/>
    <xf numFmtId="0" fontId="23" fillId="0" borderId="0" xfId="33" applyFont="1" applyAlignment="1">
      <alignment horizontal="right"/>
    </xf>
    <xf numFmtId="4" fontId="25" fillId="0" borderId="0" xfId="33" applyNumberFormat="1" applyFont="1" applyBorder="1" applyAlignment="1">
      <alignment horizontal="center" vertical="center"/>
    </xf>
    <xf numFmtId="0" fontId="25" fillId="0" borderId="0" xfId="33" applyFont="1" applyBorder="1" applyAlignment="1">
      <alignment horizontal="left" vertical="center" wrapText="1"/>
    </xf>
    <xf numFmtId="0" fontId="20" fillId="0" borderId="2" xfId="33" applyFont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0" fillId="3" borderId="0" xfId="33" applyFont="1" applyFill="1"/>
    <xf numFmtId="0" fontId="26" fillId="3" borderId="0" xfId="33" applyFont="1" applyFill="1" applyAlignment="1">
      <alignment horizontal="right"/>
    </xf>
    <xf numFmtId="0" fontId="20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0" fontId="24" fillId="0" borderId="0" xfId="33" applyFont="1" applyAlignment="1">
      <alignment vertical="top" wrapText="1"/>
    </xf>
    <xf numFmtId="0" fontId="71" fillId="0" borderId="0" xfId="0" applyFont="1" applyAlignment="1">
      <alignment horizontal="right"/>
    </xf>
    <xf numFmtId="0" fontId="11" fillId="0" borderId="2" xfId="1" applyFont="1" applyBorder="1" applyAlignment="1">
      <alignment horizontal="center" wrapText="1"/>
    </xf>
    <xf numFmtId="0" fontId="7" fillId="0" borderId="0" xfId="1" applyFont="1"/>
    <xf numFmtId="49" fontId="7" fillId="0" borderId="0" xfId="1" applyNumberFormat="1" applyFont="1"/>
    <xf numFmtId="49" fontId="20" fillId="3" borderId="0" xfId="33" applyNumberFormat="1" applyFont="1" applyFill="1"/>
    <xf numFmtId="49" fontId="0" fillId="0" borderId="0" xfId="1" applyNumberFormat="1" applyFont="1"/>
    <xf numFmtId="172" fontId="20" fillId="3" borderId="0" xfId="33" applyNumberFormat="1" applyFont="1" applyFill="1"/>
    <xf numFmtId="4" fontId="25" fillId="0" borderId="0" xfId="971" applyNumberFormat="1" applyFont="1" applyBorder="1" applyAlignment="1">
      <alignment horizontal="right" vertical="center"/>
    </xf>
    <xf numFmtId="4" fontId="25" fillId="0" borderId="0" xfId="971" applyNumberFormat="1" applyFont="1" applyBorder="1" applyAlignment="1">
      <alignment horizontal="right"/>
    </xf>
    <xf numFmtId="0" fontId="20" fillId="0" borderId="0" xfId="971" applyFont="1" applyAlignment="1"/>
    <xf numFmtId="40" fontId="72" fillId="0" borderId="0" xfId="1" applyNumberFormat="1" applyFont="1" applyFill="1" applyBorder="1" applyAlignment="1">
      <alignment horizontal="center" vertical="top" wrapText="1"/>
    </xf>
    <xf numFmtId="178" fontId="25" fillId="0" borderId="0" xfId="33" applyNumberFormat="1" applyFont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top"/>
    </xf>
    <xf numFmtId="168" fontId="10" fillId="3" borderId="2" xfId="1" applyNumberFormat="1" applyFont="1" applyFill="1" applyBorder="1" applyAlignment="1">
      <alignment horizontal="right" vertical="top" wrapText="1"/>
    </xf>
    <xf numFmtId="0" fontId="0" fillId="0" borderId="0" xfId="1" applyFont="1"/>
    <xf numFmtId="0" fontId="23" fillId="0" borderId="0" xfId="973" applyFont="1" applyAlignment="1">
      <alignment horizontal="right"/>
    </xf>
    <xf numFmtId="0" fontId="22" fillId="0" borderId="0" xfId="973" applyFont="1" applyAlignment="1">
      <alignment horizontal="right"/>
    </xf>
    <xf numFmtId="49" fontId="22" fillId="0" borderId="0" xfId="973" applyNumberFormat="1" applyFont="1" applyAlignment="1">
      <alignment horizontal="right" vertical="center"/>
    </xf>
    <xf numFmtId="172" fontId="25" fillId="0" borderId="0" xfId="33" applyNumberFormat="1" applyFont="1" applyBorder="1" applyAlignment="1">
      <alignment horizontal="left" vertical="center" wrapText="1"/>
    </xf>
    <xf numFmtId="168" fontId="11" fillId="3" borderId="2" xfId="1" applyNumberFormat="1" applyFont="1" applyFill="1" applyBorder="1" applyAlignment="1">
      <alignment wrapText="1"/>
    </xf>
    <xf numFmtId="0" fontId="20" fillId="0" borderId="2" xfId="36" applyFont="1" applyBorder="1" applyAlignment="1">
      <alignment horizontal="center" vertical="center" wrapText="1"/>
    </xf>
    <xf numFmtId="0" fontId="20" fillId="3" borderId="2" xfId="975" applyFont="1" applyFill="1" applyBorder="1" applyAlignment="1">
      <alignment horizontal="center" vertical="center"/>
    </xf>
    <xf numFmtId="4" fontId="20" fillId="3" borderId="2" xfId="975" applyNumberFormat="1" applyFont="1" applyFill="1" applyBorder="1" applyAlignment="1">
      <alignment horizontal="center" vertical="center"/>
    </xf>
    <xf numFmtId="4" fontId="20" fillId="3" borderId="2" xfId="976" applyNumberFormat="1" applyFont="1" applyFill="1" applyBorder="1" applyAlignment="1">
      <alignment vertical="center"/>
    </xf>
    <xf numFmtId="0" fontId="23" fillId="0" borderId="0" xfId="978" applyFont="1"/>
    <xf numFmtId="0" fontId="22" fillId="0" borderId="0" xfId="978" applyFont="1"/>
    <xf numFmtId="0" fontId="22" fillId="0" borderId="0" xfId="695" applyFont="1"/>
    <xf numFmtId="0" fontId="20" fillId="0" borderId="0" xfId="695" applyFont="1"/>
    <xf numFmtId="0" fontId="20" fillId="0" borderId="0" xfId="36" applyFont="1"/>
    <xf numFmtId="0" fontId="10" fillId="2" borderId="7" xfId="0" applyFont="1" applyFill="1" applyBorder="1" applyAlignment="1">
      <alignment horizontal="center" vertical="top"/>
    </xf>
    <xf numFmtId="172" fontId="10" fillId="0" borderId="2" xfId="373" applyNumberFormat="1" applyFont="1" applyFill="1" applyBorder="1" applyAlignment="1">
      <alignment horizontal="left" vertical="top"/>
    </xf>
    <xf numFmtId="4" fontId="25" fillId="0" borderId="2" xfId="33" applyNumberFormat="1" applyFont="1" applyBorder="1" applyAlignment="1">
      <alignment horizontal="right" vertical="center"/>
    </xf>
    <xf numFmtId="4" fontId="20" fillId="0" borderId="2" xfId="33" applyNumberFormat="1" applyFont="1" applyBorder="1" applyAlignment="1">
      <alignment horizontal="right" vertical="center"/>
    </xf>
    <xf numFmtId="172" fontId="10" fillId="0" borderId="2" xfId="0" applyNumberFormat="1" applyFont="1" applyBorder="1" applyAlignment="1">
      <alignment horizontal="right" vertical="top"/>
    </xf>
    <xf numFmtId="0" fontId="20" fillId="34" borderId="2" xfId="36" applyFont="1" applyFill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1" fillId="0" borderId="0" xfId="973" applyFont="1" applyAlignment="1">
      <alignment horizontal="right"/>
    </xf>
    <xf numFmtId="0" fontId="21" fillId="0" borderId="0" xfId="973" applyFont="1"/>
    <xf numFmtId="4" fontId="20" fillId="4" borderId="2" xfId="976" applyNumberFormat="1" applyFont="1" applyFill="1" applyBorder="1" applyAlignment="1">
      <alignment vertical="center" wrapText="1"/>
    </xf>
    <xf numFmtId="4" fontId="25" fillId="4" borderId="2" xfId="33" applyNumberFormat="1" applyFont="1" applyFill="1" applyBorder="1" applyAlignment="1">
      <alignment horizontal="right" vertical="center"/>
    </xf>
    <xf numFmtId="4" fontId="20" fillId="4" borderId="2" xfId="977" applyNumberFormat="1" applyFont="1" applyFill="1" applyBorder="1" applyAlignment="1">
      <alignment vertical="center" wrapText="1"/>
    </xf>
    <xf numFmtId="0" fontId="20" fillId="0" borderId="2" xfId="33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wrapText="1"/>
    </xf>
    <xf numFmtId="168" fontId="11" fillId="0" borderId="2" xfId="1" applyNumberFormat="1" applyFont="1" applyFill="1" applyBorder="1" applyAlignment="1">
      <alignment wrapText="1"/>
    </xf>
    <xf numFmtId="0" fontId="74" fillId="0" borderId="0" xfId="33" applyFont="1"/>
    <xf numFmtId="0" fontId="74" fillId="0" borderId="0" xfId="975" applyFont="1" applyAlignment="1">
      <alignment horizontal="left"/>
    </xf>
    <xf numFmtId="0" fontId="74" fillId="0" borderId="0" xfId="975" applyFont="1"/>
    <xf numFmtId="0" fontId="75" fillId="0" borderId="0" xfId="36" applyFont="1" applyAlignment="1">
      <alignment horizontal="left" wrapText="1"/>
    </xf>
    <xf numFmtId="0" fontId="76" fillId="0" borderId="0" xfId="36" applyFont="1"/>
    <xf numFmtId="0" fontId="20" fillId="0" borderId="21" xfId="33" applyFont="1" applyBorder="1"/>
    <xf numFmtId="49" fontId="22" fillId="0" borderId="0" xfId="978" applyNumberFormat="1" applyFont="1"/>
    <xf numFmtId="49" fontId="10" fillId="0" borderId="0" xfId="0" applyNumberFormat="1" applyFont="1"/>
    <xf numFmtId="0" fontId="11" fillId="0" borderId="3" xfId="1" applyFont="1" applyBorder="1" applyAlignment="1">
      <alignment horizontal="right" wrapText="1"/>
    </xf>
    <xf numFmtId="0" fontId="11" fillId="0" borderId="4" xfId="1" applyFont="1" applyBorder="1" applyAlignment="1">
      <alignment horizontal="right" wrapText="1"/>
    </xf>
    <xf numFmtId="0" fontId="11" fillId="0" borderId="5" xfId="1" applyFont="1" applyBorder="1" applyAlignment="1">
      <alignment horizontal="right" wrapText="1"/>
    </xf>
    <xf numFmtId="49" fontId="11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right" vertical="top"/>
    </xf>
    <xf numFmtId="49" fontId="11" fillId="2" borderId="5" xfId="0" applyNumberFormat="1" applyFont="1" applyFill="1" applyBorder="1" applyAlignment="1">
      <alignment horizontal="right" vertical="top"/>
    </xf>
    <xf numFmtId="0" fontId="11" fillId="0" borderId="3" xfId="1" applyFont="1" applyBorder="1" applyAlignment="1">
      <alignment horizontal="left" wrapText="1"/>
    </xf>
    <xf numFmtId="0" fontId="11" fillId="0" borderId="4" xfId="1" applyFont="1" applyBorder="1" applyAlignment="1">
      <alignment horizontal="left" wrapText="1"/>
    </xf>
    <xf numFmtId="0" fontId="11" fillId="0" borderId="5" xfId="1" applyFont="1" applyBorder="1" applyAlignment="1">
      <alignment horizontal="left" wrapText="1"/>
    </xf>
    <xf numFmtId="0" fontId="28" fillId="0" borderId="0" xfId="33" applyFont="1" applyAlignment="1">
      <alignment horizontal="center" wrapText="1"/>
    </xf>
    <xf numFmtId="0" fontId="20" fillId="0" borderId="2" xfId="33" applyFont="1" applyBorder="1" applyAlignment="1">
      <alignment horizontal="center" vertical="center" wrapText="1"/>
    </xf>
    <xf numFmtId="0" fontId="6" fillId="0" borderId="2" xfId="33" applyBorder="1" applyAlignment="1">
      <alignment horizontal="center" vertical="center" wrapText="1"/>
    </xf>
    <xf numFmtId="0" fontId="20" fillId="0" borderId="6" xfId="33" applyFont="1" applyBorder="1" applyAlignment="1">
      <alignment horizontal="center" vertical="center"/>
    </xf>
    <xf numFmtId="0" fontId="20" fillId="0" borderId="7" xfId="33" applyFont="1" applyBorder="1" applyAlignment="1">
      <alignment horizontal="center" vertical="center"/>
    </xf>
    <xf numFmtId="0" fontId="29" fillId="34" borderId="0" xfId="0" applyFont="1" applyFill="1" applyBorder="1" applyAlignment="1">
      <alignment horizontal="left" vertical="center"/>
    </xf>
    <xf numFmtId="0" fontId="77" fillId="34" borderId="0" xfId="0" applyFont="1" applyFill="1" applyAlignment="1">
      <alignment horizontal="left"/>
    </xf>
    <xf numFmtId="0" fontId="75" fillId="0" borderId="0" xfId="36" applyFont="1" applyAlignment="1">
      <alignment horizontal="left" wrapText="1"/>
    </xf>
    <xf numFmtId="0" fontId="73" fillId="0" borderId="0" xfId="33" applyFont="1" applyAlignment="1">
      <alignment horizontal="left" wrapText="1"/>
    </xf>
    <xf numFmtId="0" fontId="73" fillId="0" borderId="0" xfId="975" applyFont="1" applyAlignment="1">
      <alignment horizontal="left"/>
    </xf>
    <xf numFmtId="0" fontId="24" fillId="0" borderId="0" xfId="33" applyFont="1" applyAlignment="1">
      <alignment vertical="top" wrapText="1"/>
    </xf>
    <xf numFmtId="0" fontId="20" fillId="0" borderId="2" xfId="33" applyFont="1" applyBorder="1" applyAlignment="1">
      <alignment horizontal="center"/>
    </xf>
    <xf numFmtId="0" fontId="22" fillId="0" borderId="2" xfId="33" applyFont="1" applyFill="1" applyBorder="1" applyAlignment="1">
      <alignment horizontal="center" vertical="center" wrapText="1"/>
    </xf>
    <xf numFmtId="0" fontId="25" fillId="0" borderId="0" xfId="971" applyFont="1" applyBorder="1" applyAlignment="1">
      <alignment horizontal="right" wrapText="1"/>
    </xf>
    <xf numFmtId="0" fontId="25" fillId="0" borderId="2" xfId="33" applyFont="1" applyBorder="1" applyAlignment="1">
      <alignment horizontal="left" vertical="center" wrapText="1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8"/>
  <sheetViews>
    <sheetView showGridLines="0" tabSelected="1" topLeftCell="A4" zoomScale="85" zoomScaleNormal="85" workbookViewId="0">
      <selection activeCell="H16" sqref="H16"/>
    </sheetView>
  </sheetViews>
  <sheetFormatPr defaultRowHeight="12.75" x14ac:dyDescent="0.2"/>
  <cols>
    <col min="1" max="1" width="5" style="1" customWidth="1"/>
    <col min="2" max="2" width="21.140625" style="2" customWidth="1"/>
    <col min="3" max="3" width="48.7109375" style="2" customWidth="1"/>
    <col min="4" max="4" width="16.42578125" style="6" customWidth="1"/>
    <col min="5" max="5" width="19.140625" style="6" customWidth="1"/>
    <col min="6" max="6" width="13.42578125" style="6" customWidth="1"/>
    <col min="7" max="7" width="12.5703125" style="6" customWidth="1"/>
    <col min="8" max="8" width="13.42578125" style="6" customWidth="1"/>
    <col min="9" max="9" width="21.7109375" style="5" customWidth="1"/>
    <col min="10" max="13" width="9.140625" style="5" customWidth="1"/>
    <col min="14" max="14" width="12" style="5" bestFit="1" customWidth="1"/>
    <col min="15" max="16384" width="9.140625" style="5"/>
  </cols>
  <sheetData>
    <row r="1" spans="1:8" x14ac:dyDescent="0.2">
      <c r="D1" s="3"/>
      <c r="E1" s="3"/>
      <c r="F1" s="3"/>
      <c r="G1" s="3"/>
      <c r="H1" s="4" t="s">
        <v>21</v>
      </c>
    </row>
    <row r="2" spans="1:8" x14ac:dyDescent="0.2">
      <c r="G2" s="3"/>
      <c r="H2" s="3"/>
    </row>
    <row r="3" spans="1:8" x14ac:dyDescent="0.2">
      <c r="D3" s="7" t="s">
        <v>59</v>
      </c>
      <c r="F3" s="3"/>
      <c r="G3" s="3"/>
      <c r="H3" s="3"/>
    </row>
    <row r="4" spans="1:8" x14ac:dyDescent="0.2">
      <c r="D4" s="8"/>
      <c r="F4" s="3"/>
      <c r="G4" s="3"/>
      <c r="H4" s="3"/>
    </row>
    <row r="5" spans="1:8" x14ac:dyDescent="0.2">
      <c r="C5" s="9"/>
      <c r="D5" s="10" t="s">
        <v>71</v>
      </c>
      <c r="E5" s="11"/>
      <c r="F5" s="10"/>
      <c r="G5" s="10"/>
      <c r="H5" s="3"/>
    </row>
    <row r="6" spans="1:8" x14ac:dyDescent="0.2">
      <c r="D6" s="12" t="s">
        <v>0</v>
      </c>
      <c r="F6" s="3"/>
      <c r="G6" s="3"/>
      <c r="H6" s="3"/>
    </row>
    <row r="7" spans="1:8" x14ac:dyDescent="0.2">
      <c r="H7" s="3"/>
    </row>
    <row r="8" spans="1:8" x14ac:dyDescent="0.2">
      <c r="B8" s="2" t="s">
        <v>75</v>
      </c>
      <c r="D8" s="8"/>
      <c r="E8" s="3"/>
      <c r="F8" s="3"/>
      <c r="G8" s="3"/>
      <c r="H8" s="3"/>
    </row>
    <row r="9" spans="1:8" x14ac:dyDescent="0.2">
      <c r="D9" s="8"/>
      <c r="E9" s="3"/>
      <c r="F9" s="3"/>
      <c r="G9" s="3"/>
      <c r="H9" s="3"/>
    </row>
    <row r="10" spans="1:8" ht="12.75" customHeight="1" x14ac:dyDescent="0.2">
      <c r="A10" s="96" t="s">
        <v>1</v>
      </c>
      <c r="B10" s="97" t="s">
        <v>4</v>
      </c>
      <c r="C10" s="97" t="s">
        <v>5</v>
      </c>
      <c r="D10" s="98" t="s">
        <v>97</v>
      </c>
      <c r="E10" s="98"/>
      <c r="F10" s="98"/>
      <c r="G10" s="98"/>
      <c r="H10" s="96" t="s">
        <v>76</v>
      </c>
    </row>
    <row r="11" spans="1:8" x14ac:dyDescent="0.2">
      <c r="A11" s="96"/>
      <c r="B11" s="97"/>
      <c r="C11" s="97"/>
      <c r="D11" s="96" t="s">
        <v>22</v>
      </c>
      <c r="E11" s="96" t="s">
        <v>23</v>
      </c>
      <c r="F11" s="96" t="s">
        <v>2</v>
      </c>
      <c r="G11" s="96" t="s">
        <v>3</v>
      </c>
      <c r="H11" s="96"/>
    </row>
    <row r="12" spans="1:8" x14ac:dyDescent="0.2">
      <c r="A12" s="96"/>
      <c r="B12" s="97"/>
      <c r="C12" s="97"/>
      <c r="D12" s="96"/>
      <c r="E12" s="96"/>
      <c r="F12" s="96"/>
      <c r="G12" s="96"/>
      <c r="H12" s="96"/>
    </row>
    <row r="13" spans="1:8" x14ac:dyDescent="0.2">
      <c r="A13" s="96"/>
      <c r="B13" s="97"/>
      <c r="C13" s="97"/>
      <c r="D13" s="96"/>
      <c r="E13" s="96"/>
      <c r="F13" s="96"/>
      <c r="G13" s="96"/>
      <c r="H13" s="96"/>
    </row>
    <row r="14" spans="1:8" x14ac:dyDescent="0.2">
      <c r="A14" s="13">
        <v>1</v>
      </c>
      <c r="B14" s="14">
        <v>2</v>
      </c>
      <c r="C14" s="14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8" x14ac:dyDescent="0.2">
      <c r="A15" s="99" t="s">
        <v>6</v>
      </c>
      <c r="B15" s="100"/>
      <c r="C15" s="100"/>
      <c r="D15" s="100"/>
      <c r="E15" s="100"/>
      <c r="F15" s="100"/>
      <c r="G15" s="100"/>
      <c r="H15" s="100"/>
    </row>
    <row r="16" spans="1:8" ht="38.25" x14ac:dyDescent="0.2">
      <c r="A16" s="15">
        <v>1</v>
      </c>
      <c r="B16" s="16" t="s">
        <v>58</v>
      </c>
      <c r="C16" s="16" t="s">
        <v>94</v>
      </c>
      <c r="D16" s="79"/>
      <c r="E16" s="80">
        <f>'расчет 1'!H11</f>
        <v>1318339</v>
      </c>
      <c r="F16" s="80">
        <f>'расчет 1'!I11</f>
        <v>79764</v>
      </c>
      <c r="G16" s="79"/>
      <c r="H16" s="80">
        <f>SUM(D16:G16)</f>
        <v>1398103</v>
      </c>
    </row>
    <row r="17" spans="1:8" ht="38.25" x14ac:dyDescent="0.2">
      <c r="A17" s="15">
        <v>2</v>
      </c>
      <c r="B17" s="16" t="s">
        <v>58</v>
      </c>
      <c r="C17" s="16" t="s">
        <v>95</v>
      </c>
      <c r="D17" s="79"/>
      <c r="E17" s="80">
        <f>'расчет 1'!H12</f>
        <v>300262</v>
      </c>
      <c r="F17" s="80">
        <f>'расчет 1'!I12</f>
        <v>25524</v>
      </c>
      <c r="G17" s="79"/>
      <c r="H17" s="80">
        <f>SUM(D17:G17)</f>
        <v>325786</v>
      </c>
    </row>
    <row r="18" spans="1:8" ht="38.25" x14ac:dyDescent="0.2">
      <c r="A18" s="15">
        <v>3</v>
      </c>
      <c r="B18" s="16" t="s">
        <v>58</v>
      </c>
      <c r="C18" s="16" t="s">
        <v>96</v>
      </c>
      <c r="D18" s="79"/>
      <c r="E18" s="80">
        <f>'расчет 1'!H13</f>
        <v>272729</v>
      </c>
      <c r="F18" s="80">
        <f>'расчет 1'!I13</f>
        <v>22334</v>
      </c>
      <c r="G18" s="79"/>
      <c r="H18" s="80">
        <f>SUM(D18:G18)</f>
        <v>295063</v>
      </c>
    </row>
    <row r="19" spans="1:8" x14ac:dyDescent="0.2">
      <c r="A19" s="17"/>
      <c r="B19" s="94" t="s">
        <v>7</v>
      </c>
      <c r="C19" s="95"/>
      <c r="D19" s="79">
        <f>SUM(D16:D16)</f>
        <v>0</v>
      </c>
      <c r="E19" s="79">
        <f>SUM(E16:E18)</f>
        <v>1891330</v>
      </c>
      <c r="F19" s="79">
        <f>SUM(F16:F18)</f>
        <v>127622</v>
      </c>
      <c r="G19" s="79">
        <f>SUM(G16:G16)</f>
        <v>0</v>
      </c>
      <c r="H19" s="80">
        <f>SUM(D19:G19)</f>
        <v>2018952</v>
      </c>
    </row>
    <row r="20" spans="1:8" x14ac:dyDescent="0.2">
      <c r="A20" s="99" t="s">
        <v>8</v>
      </c>
      <c r="B20" s="100"/>
      <c r="C20" s="100"/>
      <c r="D20" s="100"/>
      <c r="E20" s="100"/>
      <c r="F20" s="100"/>
      <c r="G20" s="100"/>
      <c r="H20" s="100"/>
    </row>
    <row r="21" spans="1:8" x14ac:dyDescent="0.2">
      <c r="A21" s="17"/>
      <c r="B21" s="94" t="s">
        <v>9</v>
      </c>
      <c r="C21" s="95"/>
      <c r="D21" s="70"/>
      <c r="E21" s="70"/>
      <c r="F21" s="70"/>
      <c r="G21" s="70"/>
      <c r="H21" s="70">
        <f>SUM(D21:G21)</f>
        <v>0</v>
      </c>
    </row>
    <row r="22" spans="1:8" x14ac:dyDescent="0.2">
      <c r="A22" s="99" t="s">
        <v>10</v>
      </c>
      <c r="B22" s="100"/>
      <c r="C22" s="100"/>
      <c r="D22" s="100"/>
      <c r="E22" s="100"/>
      <c r="F22" s="100"/>
      <c r="G22" s="100"/>
      <c r="H22" s="100"/>
    </row>
    <row r="23" spans="1:8" x14ac:dyDescent="0.2">
      <c r="A23" s="17"/>
      <c r="B23" s="94" t="s">
        <v>11</v>
      </c>
      <c r="C23" s="95"/>
      <c r="D23" s="79">
        <f>D21+D19</f>
        <v>0</v>
      </c>
      <c r="E23" s="79">
        <f t="shared" ref="E23:G23" si="0">E21+E19</f>
        <v>1891330</v>
      </c>
      <c r="F23" s="79">
        <f t="shared" si="0"/>
        <v>127622</v>
      </c>
      <c r="G23" s="79">
        <f t="shared" si="0"/>
        <v>0</v>
      </c>
      <c r="H23" s="80">
        <f>SUM(D23:G23)</f>
        <v>2018952</v>
      </c>
    </row>
    <row r="24" spans="1:8" x14ac:dyDescent="0.2">
      <c r="A24" s="99" t="s">
        <v>12</v>
      </c>
      <c r="B24" s="100"/>
      <c r="C24" s="100"/>
      <c r="D24" s="100"/>
      <c r="E24" s="100"/>
      <c r="F24" s="100"/>
      <c r="G24" s="100"/>
      <c r="H24" s="100"/>
    </row>
    <row r="25" spans="1:8" x14ac:dyDescent="0.2">
      <c r="A25" s="17"/>
      <c r="B25" s="94" t="s">
        <v>13</v>
      </c>
      <c r="C25" s="95"/>
      <c r="D25" s="79">
        <f>D23</f>
        <v>0</v>
      </c>
      <c r="E25" s="79">
        <f t="shared" ref="E25:G25" si="1">E23</f>
        <v>1891330</v>
      </c>
      <c r="F25" s="79">
        <f t="shared" si="1"/>
        <v>127622</v>
      </c>
      <c r="G25" s="79">
        <f t="shared" si="1"/>
        <v>0</v>
      </c>
      <c r="H25" s="80">
        <f>SUM(D25:G25)</f>
        <v>2018952</v>
      </c>
    </row>
    <row r="26" spans="1:8" x14ac:dyDescent="0.2">
      <c r="A26" s="99" t="s">
        <v>14</v>
      </c>
      <c r="B26" s="100"/>
      <c r="C26" s="100"/>
      <c r="D26" s="100"/>
      <c r="E26" s="100"/>
      <c r="F26" s="100"/>
      <c r="G26" s="100"/>
      <c r="H26" s="100"/>
    </row>
    <row r="27" spans="1:8" ht="78.75" customHeight="1" x14ac:dyDescent="0.2">
      <c r="A27" s="15">
        <v>4</v>
      </c>
      <c r="B27" s="16" t="s">
        <v>58</v>
      </c>
      <c r="C27" s="16" t="s">
        <v>86</v>
      </c>
      <c r="D27" s="79"/>
      <c r="E27" s="80">
        <f>'расчет 1'!K11-'расчет 1'!M11-'расчет 1'!N11</f>
        <v>492881</v>
      </c>
      <c r="F27" s="79"/>
      <c r="G27" s="79"/>
      <c r="H27" s="80">
        <f>SUM(D27:G27)</f>
        <v>492881</v>
      </c>
    </row>
    <row r="28" spans="1:8" ht="78.75" customHeight="1" x14ac:dyDescent="0.2">
      <c r="A28" s="15">
        <v>5</v>
      </c>
      <c r="B28" s="16" t="s">
        <v>58</v>
      </c>
      <c r="C28" s="16" t="s">
        <v>77</v>
      </c>
      <c r="D28" s="79"/>
      <c r="E28" s="80">
        <f>'расчет 1'!K12-'расчет 1'!M12-'расчет 1'!N12</f>
        <v>165988</v>
      </c>
      <c r="F28" s="79"/>
      <c r="G28" s="79"/>
      <c r="H28" s="80">
        <f>SUM(D28:G28)</f>
        <v>165988</v>
      </c>
    </row>
    <row r="29" spans="1:8" ht="78.75" customHeight="1" x14ac:dyDescent="0.2">
      <c r="A29" s="15">
        <v>6</v>
      </c>
      <c r="B29" s="16" t="s">
        <v>58</v>
      </c>
      <c r="C29" s="16" t="s">
        <v>79</v>
      </c>
      <c r="D29" s="79"/>
      <c r="E29" s="80">
        <f>'расчет 1'!K13-'расчет 1'!M13-'расчет 1'!N13</f>
        <v>144561</v>
      </c>
      <c r="F29" s="79"/>
      <c r="G29" s="79"/>
      <c r="H29" s="80">
        <f>SUM(D29:G29)</f>
        <v>144561</v>
      </c>
    </row>
    <row r="30" spans="1:8" x14ac:dyDescent="0.2">
      <c r="A30" s="17"/>
      <c r="B30" s="94" t="s">
        <v>15</v>
      </c>
      <c r="C30" s="95"/>
      <c r="D30" s="79">
        <f>SUM(D27:D27)</f>
        <v>0</v>
      </c>
      <c r="E30" s="79">
        <f>SUM(E27:E29)</f>
        <v>803430</v>
      </c>
      <c r="F30" s="79">
        <f>SUM(F27:F27)</f>
        <v>0</v>
      </c>
      <c r="G30" s="79">
        <f>SUM(G27:G27)</f>
        <v>0</v>
      </c>
      <c r="H30" s="80">
        <f t="shared" ref="H30" si="2">SUM(D30:G30)</f>
        <v>803430</v>
      </c>
    </row>
    <row r="31" spans="1:8" x14ac:dyDescent="0.2">
      <c r="A31" s="17"/>
      <c r="B31" s="94" t="s">
        <v>16</v>
      </c>
      <c r="C31" s="95"/>
      <c r="D31" s="79">
        <f>D25+D30</f>
        <v>0</v>
      </c>
      <c r="E31" s="79">
        <f>E25+E30</f>
        <v>2694760</v>
      </c>
      <c r="F31" s="79">
        <f>F25+F30</f>
        <v>127622</v>
      </c>
      <c r="G31" s="79">
        <f>G25+G30</f>
        <v>0</v>
      </c>
      <c r="H31" s="80">
        <f>SUM(D31:G31)</f>
        <v>2822382</v>
      </c>
    </row>
    <row r="32" spans="1:8" x14ac:dyDescent="0.2">
      <c r="A32" s="99" t="s">
        <v>17</v>
      </c>
      <c r="B32" s="100"/>
      <c r="C32" s="100"/>
      <c r="D32" s="100"/>
      <c r="E32" s="100"/>
      <c r="F32" s="100"/>
      <c r="G32" s="100"/>
      <c r="H32" s="100"/>
    </row>
    <row r="33" spans="1:16" x14ac:dyDescent="0.2">
      <c r="A33" s="17"/>
      <c r="B33" s="94" t="s">
        <v>18</v>
      </c>
      <c r="C33" s="95"/>
      <c r="D33" s="79"/>
      <c r="E33" s="79"/>
      <c r="F33" s="79"/>
      <c r="G33" s="79"/>
      <c r="H33" s="80">
        <f t="shared" ref="H33" si="3">SUM(D33:G33)</f>
        <v>0</v>
      </c>
    </row>
    <row r="34" spans="1:16" x14ac:dyDescent="0.2">
      <c r="A34" s="99" t="s">
        <v>19</v>
      </c>
      <c r="B34" s="100"/>
      <c r="C34" s="100"/>
      <c r="D34" s="100"/>
      <c r="E34" s="100"/>
      <c r="F34" s="100"/>
      <c r="G34" s="100"/>
      <c r="H34" s="100"/>
    </row>
    <row r="35" spans="1:16" x14ac:dyDescent="0.2">
      <c r="A35" s="15">
        <v>7</v>
      </c>
      <c r="B35" s="16" t="s">
        <v>58</v>
      </c>
      <c r="C35" s="16" t="s">
        <v>85</v>
      </c>
      <c r="D35" s="80">
        <f>'расчет 1'!M11</f>
        <v>85216</v>
      </c>
      <c r="E35" s="79"/>
      <c r="F35" s="79"/>
      <c r="G35" s="79"/>
      <c r="H35" s="80">
        <f>SUM(D35:G35)</f>
        <v>85216</v>
      </c>
    </row>
    <row r="36" spans="1:16" x14ac:dyDescent="0.2">
      <c r="A36" s="15">
        <v>8</v>
      </c>
      <c r="B36" s="16" t="s">
        <v>58</v>
      </c>
      <c r="C36" s="16" t="s">
        <v>78</v>
      </c>
      <c r="D36" s="80">
        <f>'расчет 1'!M12</f>
        <v>22162</v>
      </c>
      <c r="E36" s="79"/>
      <c r="F36" s="79"/>
      <c r="G36" s="79"/>
      <c r="H36" s="80">
        <f>SUM(D36:G36)</f>
        <v>22162</v>
      </c>
    </row>
    <row r="37" spans="1:16" x14ac:dyDescent="0.2">
      <c r="A37" s="15">
        <v>9</v>
      </c>
      <c r="B37" s="16" t="s">
        <v>58</v>
      </c>
      <c r="C37" s="16" t="s">
        <v>80</v>
      </c>
      <c r="D37" s="80">
        <f>'расчет 1'!M13</f>
        <v>19811</v>
      </c>
      <c r="E37" s="79"/>
      <c r="F37" s="79"/>
      <c r="G37" s="79"/>
      <c r="H37" s="80">
        <f>SUM(D37:G37)</f>
        <v>19811</v>
      </c>
    </row>
    <row r="38" spans="1:16" ht="27.95" customHeight="1" x14ac:dyDescent="0.2">
      <c r="A38" s="17"/>
      <c r="B38" s="94" t="s">
        <v>20</v>
      </c>
      <c r="C38" s="95"/>
      <c r="D38" s="80">
        <f>SUM(D35:D37)</f>
        <v>127189</v>
      </c>
      <c r="E38" s="80">
        <f>SUM(E35:E35)</f>
        <v>0</v>
      </c>
      <c r="F38" s="80">
        <f>SUM(F35:F35)</f>
        <v>0</v>
      </c>
      <c r="G38" s="80">
        <f>SUM(G35:G35)</f>
        <v>0</v>
      </c>
      <c r="H38" s="80">
        <f t="shared" ref="H38" si="4">SUM(D38:G38)</f>
        <v>127189</v>
      </c>
    </row>
    <row r="39" spans="1:16" s="18" customFormat="1" ht="21.75" customHeight="1" x14ac:dyDescent="0.2">
      <c r="A39" s="66"/>
      <c r="B39" s="101" t="s">
        <v>74</v>
      </c>
      <c r="C39" s="102"/>
      <c r="D39" s="81">
        <f>D38+D31</f>
        <v>127189</v>
      </c>
      <c r="E39" s="81">
        <f t="shared" ref="E39:G39" si="5">E38+E31</f>
        <v>2694760</v>
      </c>
      <c r="F39" s="81">
        <f t="shared" si="5"/>
        <v>127622</v>
      </c>
      <c r="G39" s="81">
        <f t="shared" si="5"/>
        <v>0</v>
      </c>
      <c r="H39" s="81">
        <f>SUM(D39:G39)</f>
        <v>2949571</v>
      </c>
      <c r="I39" s="51"/>
    </row>
    <row r="40" spans="1:16" ht="12.75" customHeight="1" x14ac:dyDescent="0.2">
      <c r="A40" s="103" t="s">
        <v>87</v>
      </c>
      <c r="B40" s="104"/>
      <c r="C40" s="104"/>
      <c r="D40" s="104"/>
      <c r="E40" s="104"/>
      <c r="F40" s="104"/>
      <c r="G40" s="104"/>
      <c r="H40" s="105"/>
    </row>
    <row r="41" spans="1:16" s="39" customFormat="1" x14ac:dyDescent="0.2">
      <c r="A41" s="38" t="s">
        <v>57</v>
      </c>
      <c r="B41" s="19">
        <v>2021</v>
      </c>
      <c r="C41" s="67">
        <v>1.0509999999999999</v>
      </c>
      <c r="D41" s="49">
        <f>ROUND(D39*$C$41,0)</f>
        <v>133676</v>
      </c>
      <c r="E41" s="49">
        <f t="shared" ref="E41:G41" si="6">ROUND(E39*$C$41,0)</f>
        <v>2832193</v>
      </c>
      <c r="F41" s="49">
        <f t="shared" si="6"/>
        <v>134131</v>
      </c>
      <c r="G41" s="49">
        <f t="shared" si="6"/>
        <v>0</v>
      </c>
      <c r="H41" s="50">
        <f t="shared" ref="H41:H44" si="7">D41+E41+F41+G41</f>
        <v>3100000</v>
      </c>
      <c r="I41" s="5"/>
    </row>
    <row r="42" spans="1:16" s="39" customFormat="1" x14ac:dyDescent="0.2">
      <c r="A42" s="38" t="s">
        <v>24</v>
      </c>
      <c r="B42" s="19">
        <v>2022</v>
      </c>
      <c r="C42" s="67">
        <v>1.048</v>
      </c>
      <c r="D42" s="49">
        <v>0</v>
      </c>
      <c r="E42" s="49">
        <v>0</v>
      </c>
      <c r="F42" s="49">
        <v>0</v>
      </c>
      <c r="G42" s="49">
        <v>0</v>
      </c>
      <c r="H42" s="50">
        <f>D42+E42+F42+G42</f>
        <v>0</v>
      </c>
      <c r="I42" s="5"/>
      <c r="O42" s="40"/>
      <c r="P42" s="40"/>
    </row>
    <row r="43" spans="1:16" s="39" customFormat="1" x14ac:dyDescent="0.2">
      <c r="A43" s="38" t="s">
        <v>55</v>
      </c>
      <c r="B43" s="19">
        <v>2023</v>
      </c>
      <c r="C43" s="67">
        <v>1.0469999999999999</v>
      </c>
      <c r="D43" s="49">
        <v>0</v>
      </c>
      <c r="E43" s="49">
        <v>0</v>
      </c>
      <c r="F43" s="49">
        <v>0</v>
      </c>
      <c r="G43" s="49">
        <v>0</v>
      </c>
      <c r="H43" s="50">
        <f t="shared" si="7"/>
        <v>0</v>
      </c>
      <c r="I43" s="5"/>
      <c r="O43" s="42"/>
      <c r="P43" s="40"/>
    </row>
    <row r="44" spans="1:16" s="39" customFormat="1" x14ac:dyDescent="0.2">
      <c r="A44" s="38" t="s">
        <v>56</v>
      </c>
      <c r="B44" s="19">
        <v>2024</v>
      </c>
      <c r="C44" s="67">
        <v>1.038</v>
      </c>
      <c r="D44" s="49">
        <v>0</v>
      </c>
      <c r="E44" s="49">
        <v>0</v>
      </c>
      <c r="F44" s="49">
        <v>0</v>
      </c>
      <c r="G44" s="49">
        <v>0</v>
      </c>
      <c r="H44" s="50">
        <f t="shared" si="7"/>
        <v>0</v>
      </c>
      <c r="I44" s="5"/>
      <c r="O44" s="42"/>
      <c r="P44" s="40"/>
    </row>
    <row r="45" spans="1:16" s="39" customFormat="1" x14ac:dyDescent="0.2">
      <c r="A45" s="38" t="s">
        <v>56</v>
      </c>
      <c r="B45" s="19">
        <v>2025</v>
      </c>
      <c r="C45" s="67">
        <v>1.0429999999999999</v>
      </c>
      <c r="D45" s="49">
        <v>0</v>
      </c>
      <c r="E45" s="49">
        <v>0</v>
      </c>
      <c r="F45" s="49">
        <v>0</v>
      </c>
      <c r="G45" s="49">
        <v>0</v>
      </c>
      <c r="H45" s="50">
        <f t="shared" ref="H45" si="8">D45+E45+F45+G45</f>
        <v>0</v>
      </c>
      <c r="I45" s="5"/>
      <c r="O45" s="42"/>
      <c r="P45" s="40"/>
    </row>
    <row r="46" spans="1:16" ht="16.5" customHeight="1" x14ac:dyDescent="0.2">
      <c r="A46" s="91" t="s">
        <v>88</v>
      </c>
      <c r="B46" s="92"/>
      <c r="C46" s="93"/>
      <c r="D46" s="56">
        <f>D45+D41+D42+D43+D44</f>
        <v>133676</v>
      </c>
      <c r="E46" s="56">
        <f t="shared" ref="E46:G46" si="9">E45+E41+E42+E43+E44</f>
        <v>2832193</v>
      </c>
      <c r="F46" s="56">
        <f t="shared" si="9"/>
        <v>134131</v>
      </c>
      <c r="G46" s="56">
        <f t="shared" si="9"/>
        <v>0</v>
      </c>
      <c r="H46" s="56">
        <f>D46+E46+F46+G46</f>
        <v>3100000</v>
      </c>
      <c r="I46" s="90"/>
    </row>
    <row r="47" spans="1:16" s="37" customFormat="1" ht="18" customHeight="1" x14ac:dyDescent="0.2">
      <c r="A47" s="91" t="s">
        <v>84</v>
      </c>
      <c r="B47" s="92"/>
      <c r="C47" s="93"/>
      <c r="D47" s="82">
        <f>ROUND(D46*0.2,2)</f>
        <v>26735.200000000001</v>
      </c>
      <c r="E47" s="82">
        <f t="shared" ref="E47:G47" si="10">ROUND(E46*0.2,2)</f>
        <v>566438.6</v>
      </c>
      <c r="F47" s="82">
        <f t="shared" si="10"/>
        <v>26826.2</v>
      </c>
      <c r="G47" s="82">
        <f t="shared" si="10"/>
        <v>0</v>
      </c>
      <c r="H47" s="82">
        <f>SUM(D47:G47)</f>
        <v>619999.99999999988</v>
      </c>
    </row>
    <row r="48" spans="1:16" ht="16.5" customHeight="1" x14ac:dyDescent="0.2">
      <c r="A48" s="91" t="s">
        <v>89</v>
      </c>
      <c r="B48" s="92"/>
      <c r="C48" s="93"/>
      <c r="D48" s="56">
        <f>D46+D47</f>
        <v>160411.20000000001</v>
      </c>
      <c r="E48" s="56">
        <f t="shared" ref="E48:G48" si="11">E46+E47</f>
        <v>3398631.6</v>
      </c>
      <c r="F48" s="56">
        <f t="shared" si="11"/>
        <v>160957.20000000001</v>
      </c>
      <c r="G48" s="56">
        <f t="shared" si="11"/>
        <v>0</v>
      </c>
      <c r="H48" s="56">
        <f>D48+E48+F48+G48</f>
        <v>3720000.0000000005</v>
      </c>
    </row>
  </sheetData>
  <mergeCells count="29">
    <mergeCell ref="B39:C39"/>
    <mergeCell ref="A40:H40"/>
    <mergeCell ref="A46:C46"/>
    <mergeCell ref="D10:G10"/>
    <mergeCell ref="A15:H15"/>
    <mergeCell ref="B19:C19"/>
    <mergeCell ref="A20:H20"/>
    <mergeCell ref="B21:C21"/>
    <mergeCell ref="H10:H13"/>
    <mergeCell ref="D11:D13"/>
    <mergeCell ref="E11:E13"/>
    <mergeCell ref="F11:F13"/>
    <mergeCell ref="G11:G13"/>
    <mergeCell ref="A48:C48"/>
    <mergeCell ref="B23:C23"/>
    <mergeCell ref="A10:A13"/>
    <mergeCell ref="B10:B13"/>
    <mergeCell ref="C10:C13"/>
    <mergeCell ref="A22:H22"/>
    <mergeCell ref="A32:H32"/>
    <mergeCell ref="B33:C33"/>
    <mergeCell ref="A34:H34"/>
    <mergeCell ref="B38:C38"/>
    <mergeCell ref="A24:H24"/>
    <mergeCell ref="B25:C25"/>
    <mergeCell ref="A26:H26"/>
    <mergeCell ref="B30:C30"/>
    <mergeCell ref="B31:C31"/>
    <mergeCell ref="A47:C47"/>
  </mergeCells>
  <pageMargins left="0.78740157480314965" right="0.39370078740157483" top="0.43307086614173229" bottom="0.47244094488188981" header="0.23622047244094491" footer="0.23622047244094491"/>
  <pageSetup paperSize="9" scale="92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zoomScale="85" zoomScaleNormal="85" workbookViewId="0">
      <selection activeCell="H25" sqref="H25"/>
    </sheetView>
  </sheetViews>
  <sheetFormatPr defaultRowHeight="12.75" x14ac:dyDescent="0.2"/>
  <cols>
    <col min="1" max="1" width="3.85546875" style="20" customWidth="1"/>
    <col min="2" max="2" width="34.42578125" style="20" customWidth="1"/>
    <col min="3" max="3" width="10.28515625" style="20" customWidth="1"/>
    <col min="4" max="4" width="11" style="20" customWidth="1"/>
    <col min="5" max="5" width="7.85546875" style="20" customWidth="1"/>
    <col min="6" max="6" width="14.5703125" style="20" customWidth="1"/>
    <col min="7" max="7" width="13.42578125" style="20" customWidth="1"/>
    <col min="8" max="12" width="15.7109375" style="20" customWidth="1"/>
    <col min="13" max="13" width="12.85546875" style="20" customWidth="1"/>
    <col min="14" max="14" width="12.85546875" style="20" hidden="1" customWidth="1"/>
    <col min="15" max="16384" width="9.140625" style="20"/>
  </cols>
  <sheetData>
    <row r="1" spans="1:15" ht="18.75" x14ac:dyDescent="0.3">
      <c r="A1" s="106" t="s">
        <v>54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5" x14ac:dyDescent="0.2">
      <c r="G2" s="34"/>
    </row>
    <row r="3" spans="1:15" s="83" customFormat="1" ht="15" customHeight="1" x14ac:dyDescent="0.25">
      <c r="A3" s="114" t="s">
        <v>53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5" s="85" customFormat="1" ht="15" x14ac:dyDescent="0.25">
      <c r="A4" s="115" t="s">
        <v>82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84"/>
    </row>
    <row r="5" spans="1:15" s="87" customFormat="1" ht="15.75" customHeight="1" x14ac:dyDescent="0.25">
      <c r="A5" s="86"/>
      <c r="B5" s="113" t="s">
        <v>81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86"/>
      <c r="N5" s="86"/>
      <c r="O5" s="86"/>
    </row>
    <row r="6" spans="1:15" ht="15.75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5" s="32" customFormat="1" ht="15.75" x14ac:dyDescent="0.25">
      <c r="A7" s="33"/>
      <c r="B7" s="111" t="str">
        <f>Т!D5</f>
        <v xml:space="preserve">Реконструкция распределительных сетей 0,4 кВ Артемовского ГО (ВЛ-0,4 кВ - 4км) </v>
      </c>
      <c r="C7" s="112"/>
      <c r="D7" s="112"/>
      <c r="E7" s="112"/>
      <c r="F7" s="112"/>
      <c r="G7" s="112"/>
      <c r="I7" s="43"/>
      <c r="J7" s="41"/>
      <c r="K7" s="41"/>
    </row>
    <row r="9" spans="1:15" x14ac:dyDescent="0.2">
      <c r="A9" s="107" t="s">
        <v>52</v>
      </c>
      <c r="B9" s="107" t="s">
        <v>51</v>
      </c>
      <c r="C9" s="107" t="s">
        <v>50</v>
      </c>
      <c r="D9" s="107" t="s">
        <v>49</v>
      </c>
      <c r="E9" s="107" t="s">
        <v>48</v>
      </c>
      <c r="F9" s="118" t="s">
        <v>47</v>
      </c>
      <c r="G9" s="107" t="s">
        <v>46</v>
      </c>
      <c r="H9" s="107" t="s">
        <v>83</v>
      </c>
      <c r="I9" s="107"/>
      <c r="J9" s="107"/>
      <c r="K9" s="107"/>
      <c r="L9" s="109" t="s">
        <v>45</v>
      </c>
      <c r="M9" s="117" t="s">
        <v>44</v>
      </c>
      <c r="N9" s="117"/>
      <c r="O9" s="88"/>
    </row>
    <row r="10" spans="1:15" ht="72" customHeight="1" x14ac:dyDescent="0.2">
      <c r="A10" s="107"/>
      <c r="B10" s="107"/>
      <c r="C10" s="107"/>
      <c r="D10" s="108"/>
      <c r="E10" s="107"/>
      <c r="F10" s="118"/>
      <c r="G10" s="108"/>
      <c r="H10" s="31" t="s">
        <v>90</v>
      </c>
      <c r="I10" s="31" t="s">
        <v>43</v>
      </c>
      <c r="J10" s="31" t="s">
        <v>42</v>
      </c>
      <c r="K10" s="31" t="s">
        <v>41</v>
      </c>
      <c r="L10" s="110"/>
      <c r="M10" s="30" t="s">
        <v>22</v>
      </c>
      <c r="N10" s="30" t="s">
        <v>40</v>
      </c>
    </row>
    <row r="11" spans="1:15" ht="57.75" customHeight="1" x14ac:dyDescent="0.2">
      <c r="A11" s="72">
        <v>1</v>
      </c>
      <c r="B11" s="77" t="s">
        <v>91</v>
      </c>
      <c r="C11" s="57" t="s">
        <v>62</v>
      </c>
      <c r="D11" s="71">
        <v>229.2</v>
      </c>
      <c r="E11" s="58">
        <v>2.5</v>
      </c>
      <c r="F11" s="58">
        <f>ROUND(((1.5+2.5+7.5+5+1.5)/100+1)*1.12,3)</f>
        <v>1.3220000000000001</v>
      </c>
      <c r="G11" s="59">
        <f t="shared" ref="G11" si="0">ROUND((D11*E11*F11),2)</f>
        <v>757.51</v>
      </c>
      <c r="H11" s="60">
        <f>ROUND(((0.8*G11*1.09*$H$16*1000*6.49)-(37*10000+2.5*110500)),0)-5</f>
        <v>1318339</v>
      </c>
      <c r="I11" s="60">
        <f>ROUND((0.04*G11*1.09*$H$16*1000*5.27),0)</f>
        <v>79764</v>
      </c>
      <c r="J11" s="60">
        <f>ROUND((0*G11*1.09*$H$16*1000*27.94),0)</f>
        <v>0</v>
      </c>
      <c r="K11" s="60">
        <f>ROUND((0.16*G11*1.09*$H$16*1000*10.42),0)</f>
        <v>630850</v>
      </c>
      <c r="L11" s="75">
        <f t="shared" ref="L11" si="1">SUM(H11:K11)</f>
        <v>2028953</v>
      </c>
      <c r="M11" s="69">
        <f>ROUND((L11*0.07)*0.6,0)</f>
        <v>85216</v>
      </c>
      <c r="N11" s="69">
        <f>ROUND((L11*0.026),0)</f>
        <v>52753</v>
      </c>
    </row>
    <row r="12" spans="1:15" ht="60" customHeight="1" x14ac:dyDescent="0.2">
      <c r="A12" s="78">
        <v>2</v>
      </c>
      <c r="B12" s="77" t="s">
        <v>92</v>
      </c>
      <c r="C12" s="57" t="s">
        <v>62</v>
      </c>
      <c r="D12" s="71">
        <v>229.2</v>
      </c>
      <c r="E12" s="58">
        <v>0.8</v>
      </c>
      <c r="F12" s="58">
        <f>ROUND(((1.5+2.5+7.5+5+1.5)/100+1)*1.12,3)</f>
        <v>1.3220000000000001</v>
      </c>
      <c r="G12" s="59">
        <f t="shared" ref="G12" si="2">ROUND((D12*E12*F12),2)</f>
        <v>242.4</v>
      </c>
      <c r="H12" s="60">
        <f>ROUND(((0.8*G12*1.09*$H$16*1000*6.49)-(24*10000+0.8*110500)),0)</f>
        <v>300262</v>
      </c>
      <c r="I12" s="60">
        <f t="shared" ref="I12:I13" si="3">ROUND((0.04*G12*1.09*$H$16*1000*5.27),0)</f>
        <v>25524</v>
      </c>
      <c r="J12" s="60">
        <f t="shared" ref="J12:J13" si="4">ROUND((0*G12*1.09*$H$16*1000*27.94),0)</f>
        <v>0</v>
      </c>
      <c r="K12" s="60">
        <f t="shared" ref="K12:K13" si="5">ROUND((0.16*G12*1.09*$H$16*1000*10.42),0)</f>
        <v>201869</v>
      </c>
      <c r="L12" s="75">
        <f t="shared" ref="L12:L13" si="6">SUM(H12:K12)</f>
        <v>527655</v>
      </c>
      <c r="M12" s="69">
        <f t="shared" ref="M12:M13" si="7">ROUND((L12*0.07)*0.6,0)</f>
        <v>22162</v>
      </c>
      <c r="N12" s="69">
        <f t="shared" ref="N12:N13" si="8">ROUND((L12*0.026),0)</f>
        <v>13719</v>
      </c>
    </row>
    <row r="13" spans="1:15" ht="58.5" customHeight="1" x14ac:dyDescent="0.2">
      <c r="A13" s="78">
        <v>3</v>
      </c>
      <c r="B13" s="77" t="s">
        <v>93</v>
      </c>
      <c r="C13" s="57" t="s">
        <v>62</v>
      </c>
      <c r="D13" s="71">
        <v>229.2</v>
      </c>
      <c r="E13" s="58">
        <v>0.7</v>
      </c>
      <c r="F13" s="58">
        <f>ROUND(((1.5+2.5+7.5+5+1.5)/100+1)*1.12,3)</f>
        <v>1.3220000000000001</v>
      </c>
      <c r="G13" s="59">
        <f t="shared" ref="G13" si="9">ROUND((D13*E13*F13),2)</f>
        <v>212.1</v>
      </c>
      <c r="H13" s="60">
        <f>ROUND(((0.8*G13*1.09*$H$16*1000*6.49)-(20*10000+0.7*110500)),0)</f>
        <v>272729</v>
      </c>
      <c r="I13" s="60">
        <f t="shared" si="3"/>
        <v>22334</v>
      </c>
      <c r="J13" s="60">
        <f t="shared" si="4"/>
        <v>0</v>
      </c>
      <c r="K13" s="60">
        <f t="shared" si="5"/>
        <v>176636</v>
      </c>
      <c r="L13" s="75">
        <f t="shared" si="6"/>
        <v>471699</v>
      </c>
      <c r="M13" s="69">
        <f t="shared" si="7"/>
        <v>19811</v>
      </c>
      <c r="N13" s="69">
        <f t="shared" si="8"/>
        <v>12264</v>
      </c>
    </row>
    <row r="14" spans="1:15" ht="30.75" customHeight="1" x14ac:dyDescent="0.2">
      <c r="A14" s="120" t="s">
        <v>39</v>
      </c>
      <c r="B14" s="120"/>
      <c r="C14" s="120"/>
      <c r="D14" s="120"/>
      <c r="E14" s="120"/>
      <c r="F14" s="120"/>
      <c r="G14" s="120"/>
      <c r="H14" s="68">
        <f>SUM(H11:H13)</f>
        <v>1891330</v>
      </c>
      <c r="I14" s="68">
        <f t="shared" ref="I14:K14" si="10">SUM(I11:I13)</f>
        <v>127622</v>
      </c>
      <c r="J14" s="68">
        <f t="shared" si="10"/>
        <v>0</v>
      </c>
      <c r="K14" s="68">
        <f t="shared" si="10"/>
        <v>1009355</v>
      </c>
      <c r="L14" s="76">
        <f>SUM(H14:K14)</f>
        <v>3028307</v>
      </c>
      <c r="M14" s="68">
        <f>SUM(M11:M13)</f>
        <v>127189</v>
      </c>
      <c r="N14" s="68">
        <f>SUM(N11:N13)</f>
        <v>78736</v>
      </c>
    </row>
    <row r="15" spans="1:15" s="46" customFormat="1" x14ac:dyDescent="0.2">
      <c r="A15" s="29"/>
      <c r="B15" s="29"/>
      <c r="C15" s="29"/>
      <c r="D15" s="29"/>
      <c r="E15" s="55"/>
      <c r="F15" s="29"/>
      <c r="G15" s="29"/>
      <c r="H15" s="28"/>
      <c r="I15" s="28"/>
      <c r="J15" s="20"/>
      <c r="K15" s="28"/>
      <c r="L15" s="28"/>
      <c r="M15" s="20"/>
      <c r="N15" s="20"/>
    </row>
    <row r="16" spans="1:15" x14ac:dyDescent="0.2">
      <c r="A16" s="119" t="s">
        <v>60</v>
      </c>
      <c r="B16" s="119"/>
      <c r="C16" s="119"/>
      <c r="D16" s="119"/>
      <c r="E16" s="119"/>
      <c r="F16" s="119"/>
      <c r="G16" s="119"/>
      <c r="H16" s="44">
        <v>0.45827200000000001</v>
      </c>
      <c r="I16" s="44"/>
      <c r="J16" s="46"/>
      <c r="K16" s="44"/>
      <c r="L16" s="45"/>
      <c r="M16" s="46"/>
      <c r="N16" s="46"/>
    </row>
    <row r="17" spans="1:13" x14ac:dyDescent="0.2">
      <c r="A17" s="29"/>
      <c r="B17" s="29"/>
      <c r="C17" s="29"/>
      <c r="D17" s="29"/>
      <c r="E17" s="55"/>
      <c r="F17" s="29"/>
      <c r="G17" s="29"/>
      <c r="H17" s="28"/>
      <c r="I17" s="48"/>
      <c r="J17" s="28"/>
      <c r="K17" s="28"/>
      <c r="L17" s="28"/>
      <c r="M17" s="28"/>
    </row>
    <row r="18" spans="1:13" x14ac:dyDescent="0.2">
      <c r="A18" s="23"/>
      <c r="B18" s="23" t="s">
        <v>38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x14ac:dyDescent="0.2">
      <c r="A19" s="23"/>
      <c r="B19" s="116" t="s">
        <v>37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36"/>
    </row>
    <row r="20" spans="1:13" x14ac:dyDescent="0.2">
      <c r="A20" s="21"/>
      <c r="B20" s="21"/>
      <c r="C20" s="21"/>
      <c r="D20" s="21"/>
      <c r="E20" s="21"/>
      <c r="F20" s="21" t="s">
        <v>36</v>
      </c>
      <c r="G20" s="21"/>
      <c r="H20" s="21"/>
      <c r="I20" s="21"/>
      <c r="J20" s="21"/>
      <c r="K20" s="21"/>
      <c r="L20" s="21"/>
      <c r="M20" s="21"/>
    </row>
    <row r="21" spans="1:13" x14ac:dyDescent="0.2">
      <c r="A21" s="23"/>
      <c r="B21" s="23" t="s">
        <v>35</v>
      </c>
      <c r="C21" s="23"/>
      <c r="D21" s="23"/>
      <c r="E21" s="23"/>
      <c r="F21" s="23"/>
      <c r="G21" s="23"/>
      <c r="H21" s="23"/>
      <c r="I21" s="47"/>
      <c r="J21" s="23"/>
      <c r="K21" s="23"/>
      <c r="L21" s="23"/>
      <c r="M21" s="23"/>
    </row>
    <row r="22" spans="1:13" x14ac:dyDescent="0.2">
      <c r="A22" s="22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  <row r="23" spans="1:13" x14ac:dyDescent="0.2">
      <c r="A23" s="27" t="s">
        <v>34</v>
      </c>
      <c r="B23" s="26" t="s">
        <v>33</v>
      </c>
      <c r="C23" s="23"/>
      <c r="D23" s="23" t="s">
        <v>73</v>
      </c>
      <c r="E23" s="23"/>
      <c r="F23" s="23"/>
      <c r="G23" s="23"/>
      <c r="I23" s="23"/>
      <c r="J23" s="23"/>
      <c r="K23" s="23"/>
      <c r="L23" s="23"/>
      <c r="M23" s="23"/>
    </row>
    <row r="24" spans="1:13" x14ac:dyDescent="0.2">
      <c r="A24" s="25" t="s">
        <v>32</v>
      </c>
      <c r="B24" s="23" t="s">
        <v>31</v>
      </c>
      <c r="C24" s="23"/>
      <c r="D24" s="23"/>
      <c r="E24" s="23"/>
      <c r="F24" s="23"/>
      <c r="G24" s="23"/>
      <c r="H24" s="52"/>
      <c r="I24" s="61"/>
      <c r="J24" s="62"/>
      <c r="K24" s="62"/>
      <c r="L24" s="62"/>
      <c r="M24" s="62"/>
    </row>
    <row r="25" spans="1:13" x14ac:dyDescent="0.2">
      <c r="A25" s="24" t="s">
        <v>25</v>
      </c>
      <c r="B25" s="23" t="s">
        <v>30</v>
      </c>
      <c r="C25" s="23"/>
      <c r="D25" s="23"/>
      <c r="E25" s="23"/>
      <c r="F25" s="23"/>
      <c r="G25" s="23"/>
      <c r="H25" s="53"/>
      <c r="I25" s="62"/>
      <c r="J25" s="62"/>
      <c r="K25" s="62"/>
      <c r="L25" s="62"/>
      <c r="M25" s="62"/>
    </row>
    <row r="26" spans="1:13" x14ac:dyDescent="0.2">
      <c r="A26" s="24" t="s">
        <v>25</v>
      </c>
      <c r="B26" s="23" t="s">
        <v>29</v>
      </c>
      <c r="C26" s="23"/>
      <c r="D26" s="23"/>
      <c r="E26" s="23"/>
      <c r="F26" s="23"/>
      <c r="G26" s="23"/>
      <c r="H26" s="54"/>
      <c r="I26" s="62"/>
      <c r="J26" s="62"/>
      <c r="K26" s="62"/>
      <c r="L26" s="62"/>
      <c r="M26" s="62"/>
    </row>
    <row r="27" spans="1:13" x14ac:dyDescent="0.2">
      <c r="A27" s="24" t="s">
        <v>25</v>
      </c>
      <c r="B27" s="23" t="s">
        <v>28</v>
      </c>
      <c r="C27" s="23"/>
      <c r="D27" s="23"/>
      <c r="E27" s="23"/>
      <c r="F27" s="23"/>
      <c r="G27" s="23"/>
      <c r="H27" s="54"/>
      <c r="I27" s="62"/>
      <c r="J27" s="62"/>
      <c r="K27" s="62"/>
      <c r="L27" s="62"/>
      <c r="M27" s="62"/>
    </row>
    <row r="28" spans="1:13" x14ac:dyDescent="0.2">
      <c r="A28" s="24" t="s">
        <v>25</v>
      </c>
      <c r="B28" s="23" t="s">
        <v>27</v>
      </c>
      <c r="C28" s="23"/>
      <c r="D28" s="23"/>
      <c r="E28" s="23"/>
      <c r="F28" s="23"/>
      <c r="G28" s="23"/>
      <c r="H28" s="54"/>
      <c r="I28" s="89"/>
      <c r="J28" s="62"/>
      <c r="K28" s="62"/>
      <c r="L28" s="62"/>
      <c r="M28" s="62"/>
    </row>
    <row r="29" spans="1:13" x14ac:dyDescent="0.2">
      <c r="A29" s="24" t="s">
        <v>25</v>
      </c>
      <c r="B29" s="23" t="s">
        <v>26</v>
      </c>
      <c r="C29" s="23"/>
      <c r="D29" s="23"/>
      <c r="E29" s="23"/>
      <c r="F29" s="23"/>
      <c r="G29" s="23"/>
      <c r="H29" s="54"/>
      <c r="I29" s="89"/>
      <c r="J29" s="62"/>
      <c r="K29" s="62"/>
      <c r="L29" s="62"/>
      <c r="M29" s="62"/>
    </row>
    <row r="30" spans="1:13" x14ac:dyDescent="0.2">
      <c r="A30" s="24" t="s">
        <v>25</v>
      </c>
      <c r="B30" s="23" t="s">
        <v>72</v>
      </c>
      <c r="C30" s="23"/>
      <c r="D30" s="23"/>
      <c r="E30" s="23"/>
      <c r="F30" s="23"/>
      <c r="G30" s="23"/>
      <c r="H30" s="54"/>
      <c r="I30" s="89"/>
      <c r="J30" s="89"/>
      <c r="K30" s="62"/>
      <c r="L30" s="62"/>
      <c r="M30" s="62"/>
    </row>
    <row r="31" spans="1:13" x14ac:dyDescent="0.2">
      <c r="A31" s="24" t="s">
        <v>67</v>
      </c>
      <c r="B31" s="23" t="s">
        <v>68</v>
      </c>
      <c r="C31" s="23"/>
      <c r="D31" s="23"/>
      <c r="E31" s="23"/>
      <c r="F31" s="23"/>
      <c r="G31" s="23"/>
      <c r="H31" s="54"/>
      <c r="I31" s="62"/>
      <c r="J31" s="62"/>
      <c r="K31" s="62"/>
      <c r="L31" s="62"/>
      <c r="M31" s="62"/>
    </row>
    <row r="32" spans="1:13" x14ac:dyDescent="0.2">
      <c r="A32" s="22" t="s">
        <v>25</v>
      </c>
      <c r="B32" s="21" t="s">
        <v>61</v>
      </c>
      <c r="C32" s="21"/>
      <c r="D32" s="21"/>
      <c r="E32" s="21"/>
      <c r="F32" s="21"/>
      <c r="G32" s="21"/>
      <c r="H32" s="54"/>
      <c r="I32" s="62"/>
      <c r="J32" s="62"/>
      <c r="K32" s="62"/>
      <c r="L32" s="62"/>
      <c r="M32" s="62"/>
    </row>
    <row r="33" spans="1:13" hidden="1" x14ac:dyDescent="0.2">
      <c r="A33" s="22" t="s">
        <v>69</v>
      </c>
      <c r="B33" s="21" t="s">
        <v>70</v>
      </c>
      <c r="C33" s="21"/>
      <c r="D33" s="21"/>
      <c r="E33" s="21"/>
      <c r="F33" s="21"/>
      <c r="G33" s="21"/>
      <c r="H33" s="54"/>
      <c r="I33" s="62"/>
      <c r="J33" s="62"/>
      <c r="K33" s="62"/>
      <c r="L33" s="62"/>
      <c r="M33" s="62"/>
    </row>
    <row r="34" spans="1:13" hidden="1" x14ac:dyDescent="0.2">
      <c r="A34" s="73" t="s">
        <v>25</v>
      </c>
      <c r="B34" s="74" t="s">
        <v>63</v>
      </c>
      <c r="I34" s="62"/>
      <c r="J34" s="62"/>
      <c r="K34" s="62"/>
      <c r="L34" s="62"/>
      <c r="M34" s="62"/>
    </row>
    <row r="35" spans="1:13" hidden="1" x14ac:dyDescent="0.2">
      <c r="A35" s="73" t="s">
        <v>25</v>
      </c>
      <c r="B35" s="74" t="s">
        <v>64</v>
      </c>
      <c r="C35" s="62"/>
      <c r="D35" s="62"/>
      <c r="E35" s="62"/>
      <c r="F35" s="62"/>
      <c r="I35" s="63"/>
      <c r="J35" s="64"/>
      <c r="K35" s="64"/>
      <c r="L35" s="64"/>
      <c r="M35" s="64"/>
    </row>
    <row r="36" spans="1:13" hidden="1" x14ac:dyDescent="0.2">
      <c r="A36" s="73" t="s">
        <v>25</v>
      </c>
      <c r="B36" s="74" t="s">
        <v>65</v>
      </c>
      <c r="C36" s="62"/>
      <c r="D36" s="62"/>
      <c r="E36" s="62"/>
      <c r="F36" s="62"/>
      <c r="I36" s="63"/>
      <c r="J36" s="64"/>
      <c r="K36" s="64"/>
      <c r="L36" s="64"/>
      <c r="M36" s="64"/>
    </row>
    <row r="37" spans="1:13" hidden="1" x14ac:dyDescent="0.2">
      <c r="A37" s="73" t="s">
        <v>25</v>
      </c>
      <c r="B37" s="74" t="s">
        <v>66</v>
      </c>
      <c r="C37" s="62"/>
      <c r="D37" s="62"/>
      <c r="E37" s="62"/>
      <c r="F37" s="62"/>
    </row>
    <row r="38" spans="1:13" x14ac:dyDescent="0.2">
      <c r="B38" s="62"/>
      <c r="C38" s="62"/>
      <c r="D38" s="62"/>
      <c r="E38" s="62"/>
      <c r="F38" s="62"/>
    </row>
    <row r="39" spans="1:13" x14ac:dyDescent="0.2">
      <c r="B39" s="62"/>
      <c r="C39" s="62"/>
      <c r="D39" s="62"/>
      <c r="E39" s="62"/>
      <c r="F39" s="62"/>
    </row>
    <row r="40" spans="1:13" x14ac:dyDescent="0.2">
      <c r="B40" s="62"/>
      <c r="C40" s="62"/>
      <c r="D40" s="62"/>
      <c r="E40" s="62"/>
      <c r="F40" s="62"/>
    </row>
    <row r="41" spans="1:13" x14ac:dyDescent="0.2">
      <c r="B41" s="62"/>
      <c r="C41" s="62"/>
      <c r="D41" s="62"/>
      <c r="E41" s="62"/>
      <c r="F41" s="62"/>
    </row>
    <row r="42" spans="1:13" x14ac:dyDescent="0.2">
      <c r="B42" s="62"/>
      <c r="C42" s="62"/>
      <c r="D42" s="62"/>
      <c r="E42" s="62"/>
      <c r="F42" s="62"/>
    </row>
    <row r="43" spans="1:13" x14ac:dyDescent="0.2">
      <c r="B43" s="62"/>
      <c r="C43" s="62"/>
      <c r="D43" s="62"/>
      <c r="E43" s="62"/>
      <c r="F43" s="62"/>
    </row>
    <row r="44" spans="1:13" x14ac:dyDescent="0.2">
      <c r="B44" s="63"/>
      <c r="C44" s="64"/>
      <c r="D44" s="64"/>
      <c r="E44" s="64"/>
      <c r="F44" s="64"/>
    </row>
    <row r="45" spans="1:13" x14ac:dyDescent="0.2">
      <c r="B45" s="63"/>
      <c r="C45" s="64"/>
      <c r="D45" s="64"/>
      <c r="E45" s="64"/>
      <c r="F45" s="64"/>
    </row>
    <row r="46" spans="1:13" x14ac:dyDescent="0.2">
      <c r="B46" s="65"/>
      <c r="C46" s="65"/>
      <c r="D46" s="65"/>
      <c r="E46" s="65"/>
      <c r="F46" s="65"/>
    </row>
  </sheetData>
  <mergeCells count="18">
    <mergeCell ref="B19:L19"/>
    <mergeCell ref="M9:N9"/>
    <mergeCell ref="D9:D10"/>
    <mergeCell ref="E9:E10"/>
    <mergeCell ref="F9:F10"/>
    <mergeCell ref="A16:G16"/>
    <mergeCell ref="A14:G14"/>
    <mergeCell ref="A1:L1"/>
    <mergeCell ref="G9:G10"/>
    <mergeCell ref="H9:K9"/>
    <mergeCell ref="L9:L10"/>
    <mergeCell ref="B9:B10"/>
    <mergeCell ref="A9:A10"/>
    <mergeCell ref="C9:C10"/>
    <mergeCell ref="B7:G7"/>
    <mergeCell ref="B5:L5"/>
    <mergeCell ref="A3:M3"/>
    <mergeCell ref="A4:M4"/>
  </mergeCells>
  <pageMargins left="0.23622047244094491" right="0.23622047244094491" top="0.74803149606299213" bottom="0.74803149606299213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Гаврюш Татьяна Петровна</cp:lastModifiedBy>
  <cp:lastPrinted>2020-02-10T08:36:30Z</cp:lastPrinted>
  <dcterms:created xsi:type="dcterms:W3CDTF">2002-03-25T05:35:56Z</dcterms:created>
  <dcterms:modified xsi:type="dcterms:W3CDTF">2020-12-07T01:18:39Z</dcterms:modified>
</cp:coreProperties>
</file>