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ТОРГИ\2020\МИРЭК\Надежд. МР_Соловей Ключ, Ключевое\"/>
    </mc:Choice>
  </mc:AlternateContent>
  <bookViews>
    <workbookView xWindow="0" yWindow="0" windowWidth="28800" windowHeight="12300"/>
  </bookViews>
  <sheets>
    <sheet name="Т" sheetId="5" r:id="rId1"/>
    <sheet name="расчет 1" sheetId="2" r:id="rId2"/>
  </sheets>
  <externalReferences>
    <externalReference r:id="rId3"/>
    <externalReference r:id="rId4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Т!$14:$14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'расчет 1'!$A:$L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H11" i="2" l="1"/>
  <c r="C16" i="5"/>
  <c r="H15" i="2" l="1"/>
  <c r="H14" i="2"/>
  <c r="H13" i="2"/>
  <c r="F18" i="2"/>
  <c r="F17" i="2"/>
  <c r="F16" i="2"/>
  <c r="F12" i="2"/>
  <c r="C19" i="5" l="1"/>
  <c r="C20" i="5"/>
  <c r="C21" i="5"/>
  <c r="C22" i="5"/>
  <c r="C23" i="5"/>
  <c r="C18" i="5"/>
  <c r="G18" i="2"/>
  <c r="J18" i="2" s="1"/>
  <c r="E44" i="5" s="1"/>
  <c r="G17" i="2"/>
  <c r="G16" i="2"/>
  <c r="H16" i="2" s="1"/>
  <c r="E21" i="5" s="1"/>
  <c r="F15" i="2"/>
  <c r="G15" i="2" s="1"/>
  <c r="F14" i="2"/>
  <c r="G14" i="2" s="1"/>
  <c r="I11" i="2"/>
  <c r="K11" i="2"/>
  <c r="J11" i="2"/>
  <c r="E40" i="5" s="1"/>
  <c r="C17" i="5"/>
  <c r="L11" i="2" l="1"/>
  <c r="I16" i="2"/>
  <c r="F21" i="5" s="1"/>
  <c r="H21" i="5" s="1"/>
  <c r="K17" i="2"/>
  <c r="H17" i="2"/>
  <c r="E22" i="5" s="1"/>
  <c r="J17" i="2"/>
  <c r="E43" i="5" s="1"/>
  <c r="I17" i="2"/>
  <c r="F22" i="5" s="1"/>
  <c r="K18" i="2"/>
  <c r="J16" i="2"/>
  <c r="E42" i="5" s="1"/>
  <c r="H18" i="2"/>
  <c r="E23" i="5" s="1"/>
  <c r="I18" i="2"/>
  <c r="F23" i="5" s="1"/>
  <c r="K16" i="2"/>
  <c r="I15" i="2"/>
  <c r="F20" i="5" s="1"/>
  <c r="E20" i="5"/>
  <c r="K15" i="2"/>
  <c r="J15" i="2"/>
  <c r="K14" i="2"/>
  <c r="J14" i="2"/>
  <c r="I14" i="2"/>
  <c r="F19" i="5" s="1"/>
  <c r="H22" i="5" l="1"/>
  <c r="L14" i="2"/>
  <c r="N14" i="2" s="1"/>
  <c r="E19" i="5"/>
  <c r="H19" i="5" s="1"/>
  <c r="H20" i="5"/>
  <c r="H23" i="5"/>
  <c r="L18" i="2"/>
  <c r="N18" i="2" s="1"/>
  <c r="L16" i="2"/>
  <c r="M16" i="2" s="1"/>
  <c r="D55" i="5" s="1"/>
  <c r="H55" i="5" s="1"/>
  <c r="L17" i="2"/>
  <c r="L15" i="2"/>
  <c r="M14" i="2"/>
  <c r="D53" i="5" s="1"/>
  <c r="H53" i="5" s="1"/>
  <c r="F13" i="2"/>
  <c r="G13" i="2" s="1"/>
  <c r="G12" i="2"/>
  <c r="H65" i="5"/>
  <c r="E35" i="5" l="1"/>
  <c r="H35" i="5" s="1"/>
  <c r="J12" i="2"/>
  <c r="E41" i="5" s="1"/>
  <c r="I12" i="2"/>
  <c r="F17" i="5" s="1"/>
  <c r="H12" i="2"/>
  <c r="E17" i="5" s="1"/>
  <c r="K12" i="2"/>
  <c r="M18" i="2"/>
  <c r="N16" i="2"/>
  <c r="E37" i="5" s="1"/>
  <c r="H37" i="5" s="1"/>
  <c r="N17" i="2"/>
  <c r="M17" i="2"/>
  <c r="M15" i="2"/>
  <c r="N15" i="2"/>
  <c r="I13" i="2"/>
  <c r="K13" i="2"/>
  <c r="J13" i="2"/>
  <c r="D54" i="5" l="1"/>
  <c r="H54" i="5" s="1"/>
  <c r="E36" i="5"/>
  <c r="H36" i="5" s="1"/>
  <c r="D57" i="5"/>
  <c r="H57" i="5" s="1"/>
  <c r="E39" i="5"/>
  <c r="H39" i="5" s="1"/>
  <c r="D56" i="5"/>
  <c r="H56" i="5" s="1"/>
  <c r="E38" i="5"/>
  <c r="H38" i="5" s="1"/>
  <c r="J19" i="2"/>
  <c r="K19" i="2"/>
  <c r="E18" i="5"/>
  <c r="H19" i="2"/>
  <c r="F18" i="5"/>
  <c r="I19" i="2"/>
  <c r="L13" i="2"/>
  <c r="N13" i="2" s="1"/>
  <c r="H17" i="5"/>
  <c r="L12" i="2"/>
  <c r="M12" i="2" s="1"/>
  <c r="M13" i="2" l="1"/>
  <c r="H18" i="5"/>
  <c r="L19" i="2"/>
  <c r="N12" i="2"/>
  <c r="E33" i="5" s="1"/>
  <c r="H33" i="5" s="1"/>
  <c r="D51" i="5"/>
  <c r="H51" i="5" s="1"/>
  <c r="E34" i="5" l="1"/>
  <c r="D52" i="5"/>
  <c r="H52" i="5" s="1"/>
  <c r="F11" i="2"/>
  <c r="B7" i="2" l="1"/>
  <c r="G11" i="2" l="1"/>
  <c r="E16" i="5" l="1"/>
  <c r="E24" i="5" s="1"/>
  <c r="F16" i="5"/>
  <c r="F24" i="5" s="1"/>
  <c r="N11" i="2" l="1"/>
  <c r="N19" i="2" s="1"/>
  <c r="M11" i="2"/>
  <c r="M19" i="2" l="1"/>
  <c r="H34" i="5"/>
  <c r="E32" i="5"/>
  <c r="E45" i="5" s="1"/>
  <c r="D50" i="5"/>
  <c r="D58" i="5" s="1"/>
  <c r="H64" i="5" l="1"/>
  <c r="H63" i="5"/>
  <c r="G58" i="5"/>
  <c r="F58" i="5"/>
  <c r="E58" i="5"/>
  <c r="G45" i="5"/>
  <c r="F45" i="5"/>
  <c r="D45" i="5"/>
  <c r="H26" i="5"/>
  <c r="G24" i="5"/>
  <c r="G28" i="5" s="1"/>
  <c r="G30" i="5" s="1"/>
  <c r="G46" i="5" s="1"/>
  <c r="D24" i="5"/>
  <c r="D28" i="5" s="1"/>
  <c r="D30" i="5" s="1"/>
  <c r="G59" i="5" l="1"/>
  <c r="G61" i="5" s="1"/>
  <c r="G66" i="5" s="1"/>
  <c r="D46" i="5"/>
  <c r="D59" i="5" s="1"/>
  <c r="D61" i="5" l="1"/>
  <c r="D66" i="5" s="1"/>
  <c r="D67" i="5" s="1"/>
  <c r="F28" i="5"/>
  <c r="F30" i="5" s="1"/>
  <c r="F46" i="5" s="1"/>
  <c r="F59" i="5" s="1"/>
  <c r="F61" i="5" l="1"/>
  <c r="F66" i="5" s="1"/>
  <c r="D68" i="5"/>
  <c r="H16" i="5"/>
  <c r="H24" i="5" l="1"/>
  <c r="E28" i="5"/>
  <c r="F67" i="5" l="1"/>
  <c r="F68" i="5" s="1"/>
  <c r="E30" i="5"/>
  <c r="E46" i="5" s="1"/>
  <c r="H28" i="5"/>
  <c r="H30" i="5" l="1"/>
  <c r="H45" i="5"/>
  <c r="H32" i="5"/>
  <c r="H50" i="5"/>
  <c r="H48" i="5"/>
  <c r="H58" i="5" l="1"/>
  <c r="E59" i="5"/>
  <c r="E61" i="5" s="1"/>
  <c r="E66" i="5" s="1"/>
  <c r="G67" i="5" l="1"/>
  <c r="G68" i="5" s="1"/>
  <c r="H46" i="5"/>
  <c r="E67" i="5" l="1"/>
  <c r="H67" i="5" s="1"/>
  <c r="H66" i="5"/>
  <c r="H59" i="5"/>
  <c r="E68" i="5" l="1"/>
  <c r="H68" i="5" s="1"/>
  <c r="H61" i="5"/>
  <c r="H62" i="5" l="1"/>
</calcChain>
</file>

<file path=xl/sharedStrings.xml><?xml version="1.0" encoding="utf-8"?>
<sst xmlns="http://schemas.openxmlformats.org/spreadsheetml/2006/main" count="165" uniqueCount="119">
  <si>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</si>
  <si>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</si>
  <si>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</si>
  <si>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</si>
  <si>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</si>
  <si>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</si>
  <si>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</si>
  <si>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</si>
  <si>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</si>
  <si>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</si>
  <si>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</si>
  <si>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</si>
  <si>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</si>
  <si>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</si>
  <si>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</si>
  <si>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</si>
  <si>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</si>
  <si>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</si>
  <si>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</si>
  <si>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</si>
  <si>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</si>
  <si>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Приложение Т</t>
  </si>
  <si>
    <t>ПИР</t>
  </si>
  <si>
    <t>СМР</t>
  </si>
  <si>
    <t>d+1</t>
  </si>
  <si>
    <t>-</t>
  </si>
  <si>
    <t>5,0-8,0% - прочие работы и затраты;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</si>
  <si>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</si>
  <si>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</si>
  <si>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</si>
  <si>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</si>
  <si>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по п.2.7:</t>
  </si>
  <si>
    <t>1.1.</t>
  </si>
  <si>
    <t>Для ВЛ: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</si>
  <si>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</si>
  <si>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</si>
  <si>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</si>
  <si>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</si>
  <si>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</si>
  <si>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 по расчету</t>
  </si>
  <si>
    <t>заказчик</t>
  </si>
  <si>
    <t>Прочие, руб.</t>
  </si>
  <si>
    <t>ПНР, руб.</t>
  </si>
  <si>
    <t>Оборудование, приспособления и производственный инвентарь, руб.</t>
  </si>
  <si>
    <t>в т.ч.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</si>
  <si>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</si>
  <si>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</si>
  <si>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</si>
  <si>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</si>
  <si>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</si>
  <si>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</si>
  <si>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</si>
  <si>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</si>
  <si>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</si>
  <si>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</si>
  <si>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>d+2</t>
  </si>
  <si>
    <t>d+3</t>
  </si>
  <si>
    <t>d</t>
  </si>
  <si>
    <t>МРСК</t>
  </si>
  <si>
    <t>СМЕТНЫЙ РАСЧЕТ</t>
  </si>
  <si>
    <t>Коэффициента учитывающего общий объем финансовых потребностей по сборнику УНЦ</t>
  </si>
  <si>
    <t>табл. 2</t>
  </si>
  <si>
    <t>1,018 - коэффициент , учитывающий работу вблизи объектов, находящихся под высоким напряжениемпри изменении конструктивных решений, проводав, кабелей более 50%</t>
  </si>
  <si>
    <t>1,013 -коэффициент, учитывающий работу в условиях городской и промышленной застройки</t>
  </si>
  <si>
    <t>1,053 -коэффициент, учитывающий работу в условиях болотистой трассы</t>
  </si>
  <si>
    <t>1,028 -коэффициент, учитывающий работу в условиях распутицы, в пойме реки</t>
  </si>
  <si>
    <t>1.2.</t>
  </si>
  <si>
    <t>по п.1.6.</t>
  </si>
  <si>
    <t>1.3.</t>
  </si>
  <si>
    <t>по таблице  4</t>
  </si>
  <si>
    <t>1,5% - непредвиденные затраты (при согласовании с заказчиком до 10%)</t>
  </si>
  <si>
    <t>К=1,322=((1,5+2,5+7,5+5+1,5)/100+1)*1,12</t>
  </si>
  <si>
    <t>Итого  по сводному расчету в ценах 4 квартала 2020 года без НДС</t>
  </si>
  <si>
    <t>Составлена в ценах по состоянию на 4 кв. 2020 год и прогнозном уровне цен 2021 год</t>
  </si>
  <si>
    <t>Общая сметная стоимость, руб.</t>
  </si>
  <si>
    <t xml:space="preserve">    Проектная документация учтена в стадии рабочей документации</t>
  </si>
  <si>
    <t xml:space="preserve">          Перевод в текущие  цены, 4 квартал 2020г.,осуществлен с учетом индексов, указанных в письме Минстроя России  №44016-ИФ/09 от 02.11.2020, №45484-ИФ/09 от12.11.2020</t>
  </si>
  <si>
    <t>Стоимость в ценах по состоянию на 4 кв. 2020 год с учетом ДВ*, руб.</t>
  </si>
  <si>
    <t>НДС 20%</t>
  </si>
  <si>
    <t>Справочно стоимость объекта в прогнозных ценах без НДС</t>
  </si>
  <si>
    <t>ИТОГО стоимость в прогнозных ценах без НДС</t>
  </si>
  <si>
    <t>ВСЕГО стоимость в прогнозных ценах с НДС</t>
  </si>
  <si>
    <t>СМР , руб.</t>
  </si>
  <si>
    <t>Реконструкция распределительных сетей 0,4 кВ п.Соловей Ключ, с.Ключевое</t>
  </si>
  <si>
    <t>Сметная стоимость, руб.</t>
  </si>
  <si>
    <t>Ф-15 ПС Надеждинская
Установка реклоузера - 1 шт.</t>
  </si>
  <si>
    <t>табл. 7</t>
  </si>
  <si>
    <t>ВЛ-0,4 кВ Ф-1 ТП-5114  (свободностоящая)  СИП 70 ж/б без учета стоек опор ж/б СВ 95-3 5 шт. и провода СИП - 0,2 км.</t>
  </si>
  <si>
    <t>табл. 6</t>
  </si>
  <si>
    <t>ВЛ-0,4 кВ Ф-2 ТП-5114  (свободностоящая)  СИП 70 ж/б без учета стоек опор ж/б СВ 95-3 49 шт. и провода СИП - 2 км.</t>
  </si>
  <si>
    <t>ВЛ-0,4 кВ Ф-4 ТП-5114  (свободностоящая)  СИП 70 ж/б без учета стоек опор ж/б СВ 95-3 19 шт. и провода СИП - 0,8 км.</t>
  </si>
  <si>
    <t>Замена ТП - 5156 - 1 шт.
Надеждинский МР 
без учета КТП 630 кВА</t>
  </si>
  <si>
    <t>Замена ТП - 5081 - 1 шт.
с.Соловей Ключ, ул.Мира
без учета КТП 400 кВА</t>
  </si>
  <si>
    <t>Замена ТП - 5115 - 1 шт.
с.Ключевое
без учета КТП 250 кВА</t>
  </si>
  <si>
    <t>Замена ТП - 5116 - 1 шт.
с.Ключевое
без учета КТП 400 кВА</t>
  </si>
  <si>
    <t>К=1,286=((1,5+2,5+7,5+5+1,5)/100+1)*1,09</t>
  </si>
  <si>
    <t>1,12 - при изменении конструктивных решений, проводав, кабелей более 50% на ВЛ</t>
  </si>
  <si>
    <t>1,09 - при изменении конструктивных решений, проводав, кабелей более 50% на ТП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</si>
  <si>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Ф-15 ПС Надеждинская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</si>
  <si>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ТП-5156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</si>
  <si>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Ф-1 ТП-5114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</si>
  <si>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Ф-2 ТП-5114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</si>
  <si>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ВЛ-0,4 кВ Ф-4 ТП-5114 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</si>
  <si>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 xml:space="preserve">ТП-5081 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</si>
  <si>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ТП-5115</t>
    </r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</si>
  <si>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
</t>
    </r>
    <r>
      <rPr>
        <b/>
        <sz val="10"/>
        <rFont val="Times New Roman"/>
        <family val="1"/>
        <charset val="204"/>
      </rPr>
      <t>ТП-5116</t>
    </r>
  </si>
  <si>
    <t>Разработка рабочей документации
Ф-15 ПС Надеждинская</t>
  </si>
  <si>
    <t xml:space="preserve">Разработка рабочей документации
ТП-5156 </t>
  </si>
  <si>
    <t xml:space="preserve">Разработка рабочей документации
ВЛ-0,4 кВ Ф-1 ТП-5114 </t>
  </si>
  <si>
    <t xml:space="preserve">Разработка рабочей документации
ВЛ-0,4 кВ Ф-2 ТП-5114 </t>
  </si>
  <si>
    <t xml:space="preserve">Разработка рабочей документации
ВЛ-0,4 кВ Ф-4 ТП-5114 </t>
  </si>
  <si>
    <t xml:space="preserve">Разработка рабочей документации
ТП-5081 </t>
  </si>
  <si>
    <t xml:space="preserve">Разработка рабочей документации
ТП-5115 </t>
  </si>
  <si>
    <t>Разработка рабочей документации
ТП-5116</t>
  </si>
  <si>
    <t>ПНР Ф-15 ПС Надеждинская</t>
  </si>
  <si>
    <t xml:space="preserve">ПНР ТП-5156 </t>
  </si>
  <si>
    <t>ПНР ТП-5081</t>
  </si>
  <si>
    <t>ПНР ТП-5115</t>
  </si>
  <si>
    <t>ПНР ТП-5116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</si>
</sst>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0.000"/>
    <numFmt numFmtId="173" formatCode="#,##0_ ;\-#,##0\ "/>
    <numFmt numFmtId="174" formatCode="#,##0_);[Red]\(#,##0\)"/>
    <numFmt numFmtId="175" formatCode="#,##0_);\(#,##0\)"/>
    <numFmt numFmtId="176" formatCode="[&lt;=9999999]###\-####;\+#_ \(###\)\ ###\-####"/>
    <numFmt numFmtId="177" formatCode="_-* #,##0.00\ _р_._-;\-* #,##0.00\ _р_._-;_-* &quot;-&quot;??\ _р_._-;_-@_-"/>
    <numFmt numFmtId="178" formatCode="#,##0.00000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979">
    <xf numFmtId="0" fontId="0" fillId="0" borderId="0"/>
    <xf numFmtId="0" fontId="7" fillId="0" borderId="0"/>
    <xf numFmtId="0" fontId="14" fillId="0" borderId="0"/>
    <xf numFmtId="0" fontId="9" fillId="0" borderId="0"/>
    <xf numFmtId="0" fontId="13" fillId="0" borderId="0"/>
    <xf numFmtId="0" fontId="15" fillId="0" borderId="0"/>
    <xf numFmtId="38" fontId="16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17" fillId="0" borderId="0"/>
    <xf numFmtId="0" fontId="18" fillId="0" borderId="0">
      <alignment horizontal="left" vertical="top"/>
    </xf>
    <xf numFmtId="166" fontId="7" fillId="0" borderId="0" applyFont="0" applyFill="0" applyBorder="0" applyAlignment="0" applyProtection="0"/>
    <xf numFmtId="0" fontId="10" fillId="0" borderId="0">
      <alignment horizontal="right" vertical="top" wrapText="1"/>
    </xf>
    <xf numFmtId="0" fontId="10" fillId="0" borderId="2">
      <alignment horizontal="center" wrapText="1"/>
    </xf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2" applyBorder="0" applyAlignment="0">
      <alignment horizontal="center" wrapText="1"/>
    </xf>
    <xf numFmtId="9" fontId="7" fillId="0" borderId="0" applyFont="0" applyFill="0" applyBorder="0" applyAlignment="0" applyProtection="0"/>
    <xf numFmtId="0" fontId="19" fillId="0" borderId="0"/>
    <xf numFmtId="0" fontId="10" fillId="0" borderId="0">
      <alignment horizontal="center"/>
    </xf>
    <xf numFmtId="165" fontId="7" fillId="0" borderId="0" applyFont="0" applyFill="0" applyBorder="0" applyAlignment="0" applyProtection="0"/>
    <xf numFmtId="40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>
      <alignment horizontal="left" vertical="top"/>
    </xf>
    <xf numFmtId="0" fontId="6" fillId="0" borderId="0"/>
    <xf numFmtId="0" fontId="29" fillId="0" borderId="0"/>
    <xf numFmtId="0" fontId="8" fillId="0" borderId="0"/>
    <xf numFmtId="0" fontId="8" fillId="0" borderId="0"/>
    <xf numFmtId="0" fontId="9" fillId="0" borderId="0"/>
    <xf numFmtId="0" fontId="14" fillId="0" borderId="0"/>
    <xf numFmtId="173" fontId="8" fillId="0" borderId="0" applyFont="0" applyFill="0" applyBorder="0" applyAlignment="0" applyProtection="0"/>
    <xf numFmtId="0" fontId="30" fillId="0" borderId="0"/>
    <xf numFmtId="0" fontId="30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174" fontId="32" fillId="0" borderId="0">
      <alignment vertical="top"/>
    </xf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174" fontId="32" fillId="0" borderId="0">
      <alignment vertical="top"/>
    </xf>
    <xf numFmtId="0" fontId="31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8" borderId="0" applyNumberFormat="0" applyBorder="0" applyAlignment="0" applyProtection="0"/>
    <xf numFmtId="0" fontId="33" fillId="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174" fontId="35" fillId="23" borderId="0">
      <alignment vertical="top"/>
    </xf>
    <xf numFmtId="14" fontId="36" fillId="0" borderId="0">
      <alignment vertical="top"/>
    </xf>
    <xf numFmtId="174" fontId="37" fillId="0" borderId="0">
      <alignment vertical="top"/>
    </xf>
    <xf numFmtId="0" fontId="38" fillId="0" borderId="0">
      <alignment vertical="top"/>
    </xf>
    <xf numFmtId="174" fontId="39" fillId="0" borderId="0">
      <alignment vertical="top"/>
    </xf>
    <xf numFmtId="175" fontId="35" fillId="0" borderId="0">
      <alignment vertical="top"/>
    </xf>
    <xf numFmtId="174" fontId="40" fillId="24" borderId="0">
      <alignment horizontal="right" vertical="top"/>
    </xf>
    <xf numFmtId="0" fontId="8" fillId="0" borderId="0"/>
    <xf numFmtId="0" fontId="8" fillId="0" borderId="0"/>
    <xf numFmtId="0" fontId="41" fillId="25" borderId="0"/>
    <xf numFmtId="176" fontId="36" fillId="0" borderId="0">
      <alignment vertical="top"/>
    </xf>
    <xf numFmtId="0" fontId="10" fillId="0" borderId="2">
      <alignment horizontal="center"/>
    </xf>
    <xf numFmtId="0" fontId="7" fillId="0" borderId="0">
      <alignment vertical="top"/>
    </xf>
    <xf numFmtId="0" fontId="34" fillId="26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10" fillId="0" borderId="2">
      <alignment horizontal="center"/>
    </xf>
    <xf numFmtId="0" fontId="10" fillId="0" borderId="0">
      <alignment vertical="top"/>
    </xf>
    <xf numFmtId="0" fontId="43" fillId="14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4" fillId="14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5" fillId="0" borderId="0" applyBorder="0">
      <alignment horizontal="center" vertical="center" wrapText="1"/>
    </xf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46" fillId="0" borderId="10" applyNumberFormat="0" applyFill="0" applyAlignment="0" applyProtection="0"/>
    <xf numFmtId="0" fontId="46" fillId="0" borderId="10" applyNumberFormat="0" applyFill="0" applyAlignment="0" applyProtection="0"/>
    <xf numFmtId="0" fontId="48" fillId="0" borderId="12" applyNumberFormat="0" applyFill="0" applyAlignment="0" applyProtection="0"/>
    <xf numFmtId="0" fontId="49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15" applyBorder="0">
      <alignment horizontal="center" vertical="center" wrapText="1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0" fontId="7" fillId="0" borderId="0"/>
    <xf numFmtId="0" fontId="54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7" fillId="0" borderId="0">
      <alignment vertical="top"/>
    </xf>
    <xf numFmtId="0" fontId="7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7" fillId="0" borderId="0"/>
    <xf numFmtId="0" fontId="6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8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30" fillId="0" borderId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3" fillId="0" borderId="0"/>
    <xf numFmtId="0" fontId="5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3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3" fillId="0" borderId="0"/>
    <xf numFmtId="0" fontId="33" fillId="0" borderId="0"/>
    <xf numFmtId="0" fontId="8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2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0" fillId="10" borderId="19" applyNumberFormat="0" applyFont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66" fillId="10" borderId="19" applyNumberFormat="0" applyFont="0" applyAlignment="0" applyProtection="0"/>
    <xf numFmtId="0" fontId="33" fillId="10" borderId="19" applyNumberFormat="0" applyFont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2">
      <alignment horizontal="center"/>
    </xf>
    <xf numFmtId="0" fontId="7" fillId="0" borderId="0"/>
    <xf numFmtId="0" fontId="10" fillId="0" borderId="2">
      <alignment horizontal="center" wrapText="1"/>
    </xf>
    <xf numFmtId="0" fontId="7" fillId="0" borderId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174" fontId="32" fillId="0" borderId="0">
      <alignment vertical="top"/>
    </xf>
    <xf numFmtId="0" fontId="15" fillId="0" borderId="0"/>
    <xf numFmtId="0" fontId="15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3" borderId="0" applyBorder="0">
      <alignment horizontal="right"/>
    </xf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" fillId="0" borderId="0"/>
    <xf numFmtId="0" fontId="10" fillId="0" borderId="0"/>
    <xf numFmtId="167" fontId="9" fillId="0" borderId="0" applyFont="0" applyFill="0" applyBorder="0" applyAlignment="0" applyProtection="0"/>
    <xf numFmtId="0" fontId="9" fillId="0" borderId="0"/>
    <xf numFmtId="0" fontId="29" fillId="0" borderId="0"/>
    <xf numFmtId="0" fontId="5" fillId="0" borderId="0"/>
    <xf numFmtId="0" fontId="4" fillId="0" borderId="0"/>
    <xf numFmtId="0" fontId="3" fillId="0" borderId="0"/>
    <xf numFmtId="0" fontId="9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1"/>
    <xf numFmtId="0" fontId="11" fillId="0" borderId="2" xfId="1" applyFont="1" applyBorder="1" applyAlignment="1">
      <alignment wrapText="1"/>
    </xf>
    <xf numFmtId="0" fontId="20" fillId="0" borderId="0" xfId="33" applyFont="1"/>
    <xf numFmtId="0" fontId="21" fillId="0" borderId="0" xfId="33" applyFont="1"/>
    <xf numFmtId="0" fontId="21" fillId="0" borderId="0" xfId="33" applyFont="1" applyAlignment="1">
      <alignment horizontal="right"/>
    </xf>
    <xf numFmtId="0" fontId="22" fillId="0" borderId="0" xfId="33" applyFont="1"/>
    <xf numFmtId="49" fontId="22" fillId="0" borderId="0" xfId="33" applyNumberFormat="1" applyFont="1" applyAlignment="1">
      <alignment horizontal="right" vertical="center"/>
    </xf>
    <xf numFmtId="0" fontId="22" fillId="0" borderId="0" xfId="33" applyFont="1" applyAlignment="1">
      <alignment horizontal="right"/>
    </xf>
    <xf numFmtId="0" fontId="23" fillId="0" borderId="0" xfId="33" applyFont="1"/>
    <xf numFmtId="0" fontId="23" fillId="0" borderId="0" xfId="33" applyFont="1" applyAlignment="1">
      <alignment horizontal="right"/>
    </xf>
    <xf numFmtId="4" fontId="25" fillId="0" borderId="0" xfId="33" applyNumberFormat="1" applyFont="1" applyBorder="1" applyAlignment="1">
      <alignment horizontal="center" vertical="center"/>
    </xf>
    <xf numFmtId="0" fontId="25" fillId="0" borderId="0" xfId="33" applyFont="1" applyBorder="1" applyAlignment="1">
      <alignment horizontal="left" vertical="center" wrapText="1"/>
    </xf>
    <xf numFmtId="0" fontId="20" fillId="0" borderId="2" xfId="33" applyFont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20" fillId="3" borderId="0" xfId="33" applyFont="1" applyFill="1"/>
    <xf numFmtId="0" fontId="26" fillId="3" borderId="0" xfId="33" applyFont="1" applyFill="1" applyAlignment="1">
      <alignment horizontal="right"/>
    </xf>
    <xf numFmtId="0" fontId="20" fillId="0" borderId="0" xfId="33" applyFont="1" applyAlignment="1">
      <alignment horizontal="center"/>
    </xf>
    <xf numFmtId="0" fontId="27" fillId="0" borderId="0" xfId="33" applyFont="1" applyAlignment="1">
      <alignment horizontal="left" wrapText="1"/>
    </xf>
    <xf numFmtId="0" fontId="24" fillId="0" borderId="0" xfId="33" applyFont="1" applyAlignment="1">
      <alignment vertical="top" wrapText="1"/>
    </xf>
    <xf numFmtId="0" fontId="71" fillId="0" borderId="0" xfId="0" applyFont="1" applyAlignment="1">
      <alignment horizontal="right"/>
    </xf>
    <xf numFmtId="0" fontId="11" fillId="0" borderId="2" xfId="1" applyFont="1" applyBorder="1" applyAlignment="1">
      <alignment horizontal="center" wrapText="1"/>
    </xf>
    <xf numFmtId="0" fontId="7" fillId="0" borderId="0" xfId="1" applyFont="1"/>
    <xf numFmtId="49" fontId="7" fillId="0" borderId="0" xfId="1" applyNumberFormat="1" applyFont="1"/>
    <xf numFmtId="49" fontId="20" fillId="3" borderId="0" xfId="33" applyNumberFormat="1" applyFont="1" applyFill="1"/>
    <xf numFmtId="49" fontId="0" fillId="0" borderId="0" xfId="1" applyNumberFormat="1" applyFont="1"/>
    <xf numFmtId="172" fontId="20" fillId="3" borderId="0" xfId="33" applyNumberFormat="1" applyFont="1" applyFill="1"/>
    <xf numFmtId="4" fontId="25" fillId="0" borderId="0" xfId="971" applyNumberFormat="1" applyFont="1" applyBorder="1" applyAlignment="1">
      <alignment horizontal="right" vertical="center"/>
    </xf>
    <xf numFmtId="4" fontId="25" fillId="0" borderId="0" xfId="971" applyNumberFormat="1" applyFont="1" applyBorder="1" applyAlignment="1">
      <alignment horizontal="right"/>
    </xf>
    <xf numFmtId="0" fontId="20" fillId="0" borderId="0" xfId="971" applyFont="1" applyAlignment="1"/>
    <xf numFmtId="40" fontId="72" fillId="0" borderId="0" xfId="1" applyNumberFormat="1" applyFont="1" applyFill="1" applyBorder="1" applyAlignment="1">
      <alignment horizontal="center" vertical="top" wrapText="1"/>
    </xf>
    <xf numFmtId="178" fontId="25" fillId="0" borderId="0" xfId="33" applyNumberFormat="1" applyFont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top"/>
    </xf>
    <xf numFmtId="168" fontId="10" fillId="3" borderId="2" xfId="1" applyNumberFormat="1" applyFont="1" applyFill="1" applyBorder="1" applyAlignment="1">
      <alignment horizontal="right" vertical="top" wrapText="1"/>
    </xf>
    <xf numFmtId="0" fontId="0" fillId="0" borderId="0" xfId="1" applyFont="1"/>
    <xf numFmtId="0" fontId="23" fillId="0" borderId="0" xfId="973" applyFont="1" applyAlignment="1">
      <alignment horizontal="right"/>
    </xf>
    <xf numFmtId="0" fontId="22" fillId="0" borderId="0" xfId="973" applyFont="1" applyAlignment="1">
      <alignment horizontal="right"/>
    </xf>
    <xf numFmtId="49" fontId="22" fillId="0" borderId="0" xfId="973" applyNumberFormat="1" applyFont="1" applyAlignment="1">
      <alignment horizontal="right" vertical="center"/>
    </xf>
    <xf numFmtId="172" fontId="25" fillId="0" borderId="0" xfId="33" applyNumberFormat="1" applyFont="1" applyBorder="1" applyAlignment="1">
      <alignment horizontal="left" vertical="center" wrapText="1"/>
    </xf>
    <xf numFmtId="168" fontId="11" fillId="3" borderId="2" xfId="1" applyNumberFormat="1" applyFont="1" applyFill="1" applyBorder="1" applyAlignment="1">
      <alignment wrapText="1"/>
    </xf>
    <xf numFmtId="0" fontId="20" fillId="0" borderId="2" xfId="36" applyFont="1" applyBorder="1" applyAlignment="1">
      <alignment horizontal="center" vertical="center" wrapText="1"/>
    </xf>
    <xf numFmtId="0" fontId="20" fillId="3" borderId="2" xfId="975" applyFont="1" applyFill="1" applyBorder="1" applyAlignment="1">
      <alignment horizontal="center" vertical="center"/>
    </xf>
    <xf numFmtId="4" fontId="20" fillId="3" borderId="2" xfId="975" applyNumberFormat="1" applyFont="1" applyFill="1" applyBorder="1" applyAlignment="1">
      <alignment horizontal="center" vertical="center"/>
    </xf>
    <xf numFmtId="4" fontId="20" fillId="3" borderId="2" xfId="976" applyNumberFormat="1" applyFont="1" applyFill="1" applyBorder="1" applyAlignment="1">
      <alignment vertical="center"/>
    </xf>
    <xf numFmtId="0" fontId="23" fillId="0" borderId="0" xfId="978" applyFont="1"/>
    <xf numFmtId="0" fontId="22" fillId="0" borderId="0" xfId="978" applyFont="1"/>
    <xf numFmtId="0" fontId="22" fillId="0" borderId="0" xfId="695" applyFont="1"/>
    <xf numFmtId="0" fontId="20" fillId="0" borderId="0" xfId="695" applyFont="1"/>
    <xf numFmtId="0" fontId="20" fillId="0" borderId="0" xfId="36" applyFont="1"/>
    <xf numFmtId="0" fontId="10" fillId="2" borderId="7" xfId="0" applyFont="1" applyFill="1" applyBorder="1" applyAlignment="1">
      <alignment horizontal="center" vertical="top"/>
    </xf>
    <xf numFmtId="172" fontId="10" fillId="0" borderId="2" xfId="373" applyNumberFormat="1" applyFont="1" applyFill="1" applyBorder="1" applyAlignment="1">
      <alignment horizontal="left" vertical="top"/>
    </xf>
    <xf numFmtId="4" fontId="25" fillId="0" borderId="2" xfId="33" applyNumberFormat="1" applyFont="1" applyBorder="1" applyAlignment="1">
      <alignment horizontal="right" vertical="center"/>
    </xf>
    <xf numFmtId="4" fontId="20" fillId="0" borderId="2" xfId="33" applyNumberFormat="1" applyFont="1" applyBorder="1" applyAlignment="1">
      <alignment horizontal="right" vertical="center"/>
    </xf>
    <xf numFmtId="172" fontId="10" fillId="0" borderId="2" xfId="0" applyNumberFormat="1" applyFont="1" applyBorder="1" applyAlignment="1">
      <alignment horizontal="right" vertical="top"/>
    </xf>
    <xf numFmtId="0" fontId="20" fillId="0" borderId="2" xfId="33" applyFont="1" applyBorder="1" applyAlignment="1">
      <alignment horizontal="center" vertical="center" wrapText="1"/>
    </xf>
    <xf numFmtId="0" fontId="21" fillId="0" borderId="0" xfId="973" applyFont="1" applyAlignment="1">
      <alignment horizontal="right"/>
    </xf>
    <xf numFmtId="0" fontId="21" fillId="0" borderId="0" xfId="973" applyFont="1"/>
    <xf numFmtId="4" fontId="20" fillId="4" borderId="2" xfId="976" applyNumberFormat="1" applyFont="1" applyFill="1" applyBorder="1" applyAlignment="1">
      <alignment vertical="center" wrapText="1"/>
    </xf>
    <xf numFmtId="4" fontId="25" fillId="4" borderId="2" xfId="33" applyNumberFormat="1" applyFont="1" applyFill="1" applyBorder="1" applyAlignment="1">
      <alignment horizontal="right" vertical="center"/>
    </xf>
    <xf numFmtId="4" fontId="20" fillId="4" borderId="2" xfId="977" applyNumberFormat="1" applyFont="1" applyFill="1" applyBorder="1" applyAlignment="1">
      <alignment vertical="center" wrapText="1"/>
    </xf>
    <xf numFmtId="0" fontId="20" fillId="0" borderId="2" xfId="33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right" vertical="top"/>
    </xf>
    <xf numFmtId="4" fontId="10" fillId="0" borderId="2" xfId="0" applyNumberFormat="1" applyFont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wrapText="1"/>
    </xf>
    <xf numFmtId="168" fontId="11" fillId="0" borderId="2" xfId="1" applyNumberFormat="1" applyFont="1" applyFill="1" applyBorder="1" applyAlignment="1">
      <alignment wrapText="1"/>
    </xf>
    <xf numFmtId="0" fontId="74" fillId="0" borderId="0" xfId="33" applyFont="1"/>
    <xf numFmtId="0" fontId="74" fillId="0" borderId="0" xfId="975" applyFont="1" applyAlignment="1">
      <alignment horizontal="left"/>
    </xf>
    <xf numFmtId="0" fontId="74" fillId="0" borderId="0" xfId="975" applyFont="1"/>
    <xf numFmtId="0" fontId="75" fillId="0" borderId="0" xfId="36" applyFont="1" applyAlignment="1">
      <alignment horizontal="left" wrapText="1"/>
    </xf>
    <xf numFmtId="0" fontId="76" fillId="0" borderId="0" xfId="36" applyFont="1"/>
    <xf numFmtId="0" fontId="20" fillId="0" borderId="21" xfId="33" applyFont="1" applyBorder="1"/>
    <xf numFmtId="49" fontId="22" fillId="0" borderId="0" xfId="978" applyNumberFormat="1" applyFont="1"/>
    <xf numFmtId="49" fontId="10" fillId="0" borderId="0" xfId="0" applyNumberFormat="1" applyFont="1"/>
    <xf numFmtId="2" fontId="10" fillId="0" borderId="2" xfId="0" applyNumberFormat="1" applyFont="1" applyBorder="1" applyAlignment="1">
      <alignment horizontal="left" vertical="top" wrapText="1"/>
    </xf>
    <xf numFmtId="4" fontId="20" fillId="0" borderId="0" xfId="971" applyNumberFormat="1" applyFont="1" applyAlignment="1"/>
    <xf numFmtId="4" fontId="20" fillId="0" borderId="0" xfId="33" applyNumberFormat="1" applyFont="1"/>
    <xf numFmtId="4" fontId="10" fillId="0" borderId="0" xfId="0" applyNumberFormat="1" applyFont="1"/>
    <xf numFmtId="49" fontId="11" fillId="2" borderId="3" xfId="0" applyNumberFormat="1" applyFont="1" applyFill="1" applyBorder="1" applyAlignment="1">
      <alignment horizontal="right" vertical="top"/>
    </xf>
    <xf numFmtId="49" fontId="11" fillId="2" borderId="5" xfId="0" applyNumberFormat="1" applyFont="1" applyFill="1" applyBorder="1" applyAlignment="1">
      <alignment horizontal="right" vertical="top"/>
    </xf>
    <xf numFmtId="0" fontId="11" fillId="0" borderId="3" xfId="1" applyFont="1" applyBorder="1" applyAlignment="1">
      <alignment horizontal="left" wrapText="1"/>
    </xf>
    <xf numFmtId="0" fontId="11" fillId="0" borderId="4" xfId="1" applyFont="1" applyBorder="1" applyAlignment="1">
      <alignment horizontal="left" wrapText="1"/>
    </xf>
    <xf numFmtId="0" fontId="11" fillId="0" borderId="5" xfId="1" applyFont="1" applyBorder="1" applyAlignment="1">
      <alignment horizontal="left" wrapText="1"/>
    </xf>
    <xf numFmtId="0" fontId="11" fillId="0" borderId="3" xfId="1" applyFont="1" applyBorder="1" applyAlignment="1">
      <alignment horizontal="right" wrapText="1"/>
    </xf>
    <xf numFmtId="0" fontId="11" fillId="0" borderId="4" xfId="1" applyFont="1" applyBorder="1" applyAlignment="1">
      <alignment horizontal="right" wrapText="1"/>
    </xf>
    <xf numFmtId="0" fontId="11" fillId="0" borderId="5" xfId="1" applyFont="1" applyBorder="1" applyAlignment="1">
      <alignment horizontal="right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24" fillId="0" borderId="0" xfId="33" applyFont="1" applyAlignment="1">
      <alignment vertical="top" wrapText="1"/>
    </xf>
    <xf numFmtId="0" fontId="20" fillId="0" borderId="2" xfId="33" applyFont="1" applyBorder="1" applyAlignment="1">
      <alignment horizontal="center"/>
    </xf>
    <xf numFmtId="0" fontId="20" fillId="0" borderId="2" xfId="33" applyFont="1" applyBorder="1" applyAlignment="1">
      <alignment horizontal="center" vertical="center" wrapText="1"/>
    </xf>
    <xf numFmtId="0" fontId="6" fillId="0" borderId="2" xfId="33" applyBorder="1" applyAlignment="1">
      <alignment horizontal="center" vertical="center" wrapText="1"/>
    </xf>
    <xf numFmtId="0" fontId="22" fillId="0" borderId="2" xfId="33" applyFont="1" applyFill="1" applyBorder="1" applyAlignment="1">
      <alignment horizontal="center" vertical="center" wrapText="1"/>
    </xf>
    <xf numFmtId="0" fontId="25" fillId="0" borderId="0" xfId="971" applyFont="1" applyBorder="1" applyAlignment="1">
      <alignment horizontal="right" wrapText="1"/>
    </xf>
    <xf numFmtId="0" fontId="25" fillId="0" borderId="2" xfId="33" applyFont="1" applyBorder="1" applyAlignment="1">
      <alignment horizontal="left" vertical="center" wrapText="1"/>
    </xf>
    <xf numFmtId="0" fontId="28" fillId="0" borderId="0" xfId="33" applyFont="1" applyAlignment="1">
      <alignment horizontal="center" wrapText="1"/>
    </xf>
    <xf numFmtId="0" fontId="20" fillId="0" borderId="6" xfId="33" applyFont="1" applyBorder="1" applyAlignment="1">
      <alignment horizontal="center" vertical="center"/>
    </xf>
    <xf numFmtId="0" fontId="20" fillId="0" borderId="7" xfId="33" applyFont="1" applyBorder="1" applyAlignment="1">
      <alignment horizontal="center" vertical="center"/>
    </xf>
    <xf numFmtId="0" fontId="75" fillId="0" borderId="0" xfId="36" applyFont="1" applyAlignment="1">
      <alignment horizontal="left" wrapText="1"/>
    </xf>
    <xf numFmtId="0" fontId="73" fillId="0" borderId="0" xfId="33" applyFont="1" applyAlignment="1">
      <alignment horizontal="left" wrapText="1"/>
    </xf>
    <xf numFmtId="0" fontId="73" fillId="0" borderId="0" xfId="975" applyFont="1" applyAlignment="1">
      <alignment horizontal="left"/>
    </xf>
    <xf numFmtId="0" fontId="20" fillId="0" borderId="2" xfId="36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77" fillId="0" borderId="0" xfId="0" applyFont="1" applyFill="1" applyAlignment="1">
      <alignment horizontal="left"/>
    </xf>
  </cellXfs>
  <cellStyles count="979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2 4" xfId="978"/>
    <cellStyle name="Обычный 3 2 3" xfId="568"/>
    <cellStyle name="Обычный 3 2 4" xfId="569"/>
    <cellStyle name="Обычный 3 2 5" xfId="966"/>
    <cellStyle name="Обычный 3 2 5 2" xfId="977"/>
    <cellStyle name="Обычный 3 3" xfId="19"/>
    <cellStyle name="Обычный 3 3 2" xfId="570"/>
    <cellStyle name="Обычный 3 3 3" xfId="571"/>
    <cellStyle name="Обычный 3 3 4" xfId="975"/>
    <cellStyle name="Обычный 3 4" xfId="20"/>
    <cellStyle name="Обычный 3 5" xfId="21"/>
    <cellStyle name="Обычный 3 5 2" xfId="22"/>
    <cellStyle name="Обычный 3 5 2 2" xfId="971"/>
    <cellStyle name="Обычный 3 5 2 2 2" xfId="974"/>
    <cellStyle name="Обычный 3 5 3" xfId="976"/>
    <cellStyle name="Обычный 3 6" xfId="16"/>
    <cellStyle name="Обычный 3 7" xfId="41"/>
    <cellStyle name="Обычный 3 8" xfId="972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68"/>
  <sheetViews>
    <sheetView showGridLines="0" tabSelected="1" topLeftCell="C46" zoomScale="85" zoomScaleNormal="85" workbookViewId="0">
      <selection activeCell="I60" sqref="I60"/>
    </sheetView>
  </sheetViews>
  <sheetFormatPr defaultRowHeight="12.75" x14ac:dyDescent="0.2"/>
  <cols>
    <col min="1" max="1" width="5" style="1" customWidth="1"/>
    <col min="2" max="2" width="21.140625" style="2" customWidth="1"/>
    <col min="3" max="3" width="48.7109375" style="2" customWidth="1"/>
    <col min="4" max="4" width="16.42578125" style="6" customWidth="1"/>
    <col min="5" max="5" width="19.140625" style="6" customWidth="1"/>
    <col min="6" max="6" width="13.42578125" style="6" customWidth="1"/>
    <col min="7" max="7" width="12.5703125" style="6" customWidth="1"/>
    <col min="8" max="8" width="13.42578125" style="6" customWidth="1"/>
    <col min="9" max="9" width="21.7109375" style="5" customWidth="1"/>
    <col min="10" max="13" width="9.140625" style="5" customWidth="1"/>
    <col min="14" max="14" width="12" style="5" bestFit="1" customWidth="1"/>
    <col min="15" max="16384" width="9.140625" style="5"/>
  </cols>
  <sheetData>
    <row r="1" spans="1:8" x14ac:dyDescent="0.2">
      <c r="D1" s="3"/>
      <c r="E1" s="3"/>
      <c r="F1" s="3"/>
      <c r="G1" s="3"/>
      <c r="H1" s="4" t="s">
        <v>21</v>
      </c>
    </row>
    <row r="2" spans="1:8" x14ac:dyDescent="0.2">
      <c r="G2" s="3"/>
      <c r="H2" s="3"/>
    </row>
    <row r="3" spans="1:8" x14ac:dyDescent="0.2">
      <c r="D3" s="7" t="s">
        <v>59</v>
      </c>
      <c r="F3" s="3"/>
      <c r="G3" s="3"/>
      <c r="H3" s="3"/>
    </row>
    <row r="4" spans="1:8" x14ac:dyDescent="0.2">
      <c r="D4" s="8"/>
      <c r="F4" s="3"/>
      <c r="G4" s="3"/>
      <c r="H4" s="3"/>
    </row>
    <row r="5" spans="1:8" x14ac:dyDescent="0.2">
      <c r="C5" s="9"/>
      <c r="D5" s="10" t="s">
        <v>83</v>
      </c>
      <c r="E5" s="11"/>
      <c r="F5" s="10"/>
      <c r="G5" s="10"/>
      <c r="H5" s="3"/>
    </row>
    <row r="6" spans="1:8" x14ac:dyDescent="0.2">
      <c r="D6" s="12" t="s">
        <v>0</v>
      </c>
      <c r="F6" s="3"/>
      <c r="G6" s="3"/>
      <c r="H6" s="3"/>
    </row>
    <row r="7" spans="1:8" x14ac:dyDescent="0.2">
      <c r="H7" s="3"/>
    </row>
    <row r="8" spans="1:8" x14ac:dyDescent="0.2">
      <c r="B8" s="2" t="s">
        <v>73</v>
      </c>
      <c r="D8" s="8"/>
      <c r="E8" s="3"/>
      <c r="F8" s="3"/>
      <c r="G8" s="3"/>
      <c r="H8" s="3"/>
    </row>
    <row r="9" spans="1:8" x14ac:dyDescent="0.2">
      <c r="D9" s="8"/>
      <c r="E9" s="3"/>
      <c r="F9" s="3"/>
      <c r="G9" s="3"/>
      <c r="H9" s="3"/>
    </row>
    <row r="10" spans="1:8" ht="12.75" customHeight="1" x14ac:dyDescent="0.2">
      <c r="A10" s="108" t="s">
        <v>1</v>
      </c>
      <c r="B10" s="109" t="s">
        <v>4</v>
      </c>
      <c r="C10" s="109" t="s">
        <v>5</v>
      </c>
      <c r="D10" s="103" t="s">
        <v>84</v>
      </c>
      <c r="E10" s="103"/>
      <c r="F10" s="103"/>
      <c r="G10" s="103"/>
      <c r="H10" s="108" t="s">
        <v>74</v>
      </c>
    </row>
    <row r="11" spans="1:8" x14ac:dyDescent="0.2">
      <c r="A11" s="108"/>
      <c r="B11" s="109"/>
      <c r="C11" s="109"/>
      <c r="D11" s="108" t="s">
        <v>22</v>
      </c>
      <c r="E11" s="108" t="s">
        <v>23</v>
      </c>
      <c r="F11" s="108" t="s">
        <v>2</v>
      </c>
      <c r="G11" s="108" t="s">
        <v>3</v>
      </c>
      <c r="H11" s="108"/>
    </row>
    <row r="12" spans="1:8" x14ac:dyDescent="0.2">
      <c r="A12" s="108"/>
      <c r="B12" s="109"/>
      <c r="C12" s="109"/>
      <c r="D12" s="108"/>
      <c r="E12" s="108"/>
      <c r="F12" s="108"/>
      <c r="G12" s="108"/>
      <c r="H12" s="108"/>
    </row>
    <row r="13" spans="1:8" x14ac:dyDescent="0.2">
      <c r="A13" s="108"/>
      <c r="B13" s="109"/>
      <c r="C13" s="109"/>
      <c r="D13" s="108"/>
      <c r="E13" s="108"/>
      <c r="F13" s="108"/>
      <c r="G13" s="108"/>
      <c r="H13" s="108"/>
    </row>
    <row r="14" spans="1:8" x14ac:dyDescent="0.2">
      <c r="A14" s="13">
        <v>1</v>
      </c>
      <c r="B14" s="14">
        <v>2</v>
      </c>
      <c r="C14" s="14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8" x14ac:dyDescent="0.2">
      <c r="A15" s="104" t="s">
        <v>6</v>
      </c>
      <c r="B15" s="105"/>
      <c r="C15" s="105"/>
      <c r="D15" s="105"/>
      <c r="E15" s="105"/>
      <c r="F15" s="105"/>
      <c r="G15" s="105"/>
      <c r="H15" s="105"/>
    </row>
    <row r="16" spans="1:8" ht="27.75" customHeight="1" x14ac:dyDescent="0.2">
      <c r="A16" s="15">
        <v>1</v>
      </c>
      <c r="B16" s="16" t="s">
        <v>58</v>
      </c>
      <c r="C16" s="91" t="str">
        <f>'расчет 1'!B11</f>
        <v>Ф-15 ПС Надеждинская
Установка реклоузера - 1 шт.</v>
      </c>
      <c r="D16" s="79"/>
      <c r="E16" s="80">
        <f>'расчет 1'!H11</f>
        <v>675783</v>
      </c>
      <c r="F16" s="80">
        <f>'расчет 1'!I11</f>
        <v>0</v>
      </c>
      <c r="G16" s="79"/>
      <c r="H16" s="80">
        <f>SUM(D16:G16)</f>
        <v>675783</v>
      </c>
    </row>
    <row r="17" spans="1:8" ht="39" customHeight="1" x14ac:dyDescent="0.2">
      <c r="A17" s="15">
        <v>2</v>
      </c>
      <c r="B17" s="16" t="s">
        <v>58</v>
      </c>
      <c r="C17" s="91" t="str">
        <f>'расчет 1'!B12</f>
        <v>Замена ТП - 5156 - 1 шт.
Надеждинский МР 
без учета КТП 630 кВА</v>
      </c>
      <c r="D17" s="79"/>
      <c r="E17" s="80">
        <f>'расчет 1'!H12</f>
        <v>711937</v>
      </c>
      <c r="F17" s="80">
        <f>'расчет 1'!I12</f>
        <v>0</v>
      </c>
      <c r="G17" s="79"/>
      <c r="H17" s="80">
        <f>SUM(D17:G17)</f>
        <v>711937</v>
      </c>
    </row>
    <row r="18" spans="1:8" ht="53.25" customHeight="1" x14ac:dyDescent="0.2">
      <c r="A18" s="15">
        <v>3</v>
      </c>
      <c r="B18" s="16" t="s">
        <v>58</v>
      </c>
      <c r="C18" s="91" t="str">
        <f>'расчет 1'!B13</f>
        <v>ВЛ-0,4 кВ Ф-1 ТП-5114  (свободностоящая)  СИП 70 ж/б без учета стоек опор ж/б СВ 95-3 5 шт. и провода СИП - 0,2 км.</v>
      </c>
      <c r="D18" s="79"/>
      <c r="E18" s="80">
        <f>'расчет 1'!H13</f>
        <v>54207</v>
      </c>
      <c r="F18" s="80">
        <f>'расчет 1'!I13</f>
        <v>5128</v>
      </c>
      <c r="G18" s="79"/>
      <c r="H18" s="80">
        <f>SUM(D18:G18)</f>
        <v>59335</v>
      </c>
    </row>
    <row r="19" spans="1:8" ht="53.25" customHeight="1" x14ac:dyDescent="0.2">
      <c r="A19" s="15">
        <v>4</v>
      </c>
      <c r="B19" s="16" t="s">
        <v>58</v>
      </c>
      <c r="C19" s="91" t="str">
        <f>'расчет 1'!B14</f>
        <v>ВЛ-0,4 кВ Ф-2 ТП-5114  (свободностоящая)  СИП 70 ж/б без учета стоек опор ж/б СВ 95-3 49 шт. и провода СИП - 2 км.</v>
      </c>
      <c r="D19" s="79"/>
      <c r="E19" s="80">
        <f>'расчет 1'!H14</f>
        <v>552070</v>
      </c>
      <c r="F19" s="80">
        <f>'расчет 1'!I14</f>
        <v>51282</v>
      </c>
      <c r="G19" s="79"/>
      <c r="H19" s="80">
        <f t="shared" ref="H19:H23" si="0">SUM(D19:G19)</f>
        <v>603352</v>
      </c>
    </row>
    <row r="20" spans="1:8" ht="53.25" customHeight="1" x14ac:dyDescent="0.2">
      <c r="A20" s="15">
        <v>5</v>
      </c>
      <c r="B20" s="16" t="s">
        <v>58</v>
      </c>
      <c r="C20" s="91" t="str">
        <f>'расчет 1'!B15</f>
        <v>ВЛ-0,4 кВ Ф-4 ТП-5114  (свободностоящая)  СИП 70 ж/б без учета стоек опор ж/б СВ 95-3 19 шт. и провода СИП - 0,8 км.</v>
      </c>
      <c r="D20" s="79"/>
      <c r="E20" s="80">
        <f>'расчет 1'!H15</f>
        <v>226828</v>
      </c>
      <c r="F20" s="80">
        <f>'расчет 1'!I15</f>
        <v>20513</v>
      </c>
      <c r="G20" s="79"/>
      <c r="H20" s="80">
        <f t="shared" si="0"/>
        <v>247341</v>
      </c>
    </row>
    <row r="21" spans="1:8" ht="53.25" customHeight="1" x14ac:dyDescent="0.2">
      <c r="A21" s="15">
        <v>6</v>
      </c>
      <c r="B21" s="16" t="s">
        <v>58</v>
      </c>
      <c r="C21" s="91" t="str">
        <f>'расчет 1'!B16</f>
        <v>Замена ТП - 5081 - 1 шт.
с.Соловей Ключ, ул.Мира
без учета КТП 400 кВА</v>
      </c>
      <c r="D21" s="79"/>
      <c r="E21" s="80">
        <f>'расчет 1'!H16</f>
        <v>487553</v>
      </c>
      <c r="F21" s="80">
        <f>'расчет 1'!I16</f>
        <v>0</v>
      </c>
      <c r="G21" s="79"/>
      <c r="H21" s="80">
        <f t="shared" si="0"/>
        <v>487553</v>
      </c>
    </row>
    <row r="22" spans="1:8" ht="53.25" customHeight="1" x14ac:dyDescent="0.2">
      <c r="A22" s="15">
        <v>7</v>
      </c>
      <c r="B22" s="16" t="s">
        <v>58</v>
      </c>
      <c r="C22" s="91" t="str">
        <f>'расчет 1'!B17</f>
        <v>Замена ТП - 5115 - 1 шт.
с.Ключевое
без учета КТП 250 кВА</v>
      </c>
      <c r="D22" s="79"/>
      <c r="E22" s="80">
        <f>'расчет 1'!H17</f>
        <v>366794</v>
      </c>
      <c r="F22" s="80">
        <f>'расчет 1'!I17</f>
        <v>0</v>
      </c>
      <c r="G22" s="79"/>
      <c r="H22" s="80">
        <f t="shared" si="0"/>
        <v>366794</v>
      </c>
    </row>
    <row r="23" spans="1:8" ht="53.25" customHeight="1" x14ac:dyDescent="0.2">
      <c r="A23" s="15">
        <v>8</v>
      </c>
      <c r="B23" s="16" t="s">
        <v>58</v>
      </c>
      <c r="C23" s="91" t="str">
        <f>'расчет 1'!B18</f>
        <v>Замена ТП - 5116 - 1 шт.
с.Ключевое
без учета КТП 400 кВА</v>
      </c>
      <c r="D23" s="79"/>
      <c r="E23" s="80">
        <f>'расчет 1'!H18</f>
        <v>487553</v>
      </c>
      <c r="F23" s="80">
        <f>'расчет 1'!I18</f>
        <v>0</v>
      </c>
      <c r="G23" s="79"/>
      <c r="H23" s="80">
        <f t="shared" si="0"/>
        <v>487553</v>
      </c>
    </row>
    <row r="24" spans="1:8" x14ac:dyDescent="0.2">
      <c r="A24" s="17"/>
      <c r="B24" s="106" t="s">
        <v>7</v>
      </c>
      <c r="C24" s="107"/>
      <c r="D24" s="79">
        <f>SUM(D16:D16)</f>
        <v>0</v>
      </c>
      <c r="E24" s="79">
        <f>SUM(E16:E23)</f>
        <v>3562725</v>
      </c>
      <c r="F24" s="79">
        <f>SUM(F16:F23)</f>
        <v>76923</v>
      </c>
      <c r="G24" s="79">
        <f>SUM(G16:G16)</f>
        <v>0</v>
      </c>
      <c r="H24" s="80">
        <f>SUM(D24:G24)</f>
        <v>3639648</v>
      </c>
    </row>
    <row r="25" spans="1:8" x14ac:dyDescent="0.2">
      <c r="A25" s="104" t="s">
        <v>8</v>
      </c>
      <c r="B25" s="105"/>
      <c r="C25" s="105"/>
      <c r="D25" s="105"/>
      <c r="E25" s="105"/>
      <c r="F25" s="105"/>
      <c r="G25" s="105"/>
      <c r="H25" s="105"/>
    </row>
    <row r="26" spans="1:8" x14ac:dyDescent="0.2">
      <c r="A26" s="17"/>
      <c r="B26" s="106" t="s">
        <v>9</v>
      </c>
      <c r="C26" s="107"/>
      <c r="D26" s="70"/>
      <c r="E26" s="70"/>
      <c r="F26" s="70"/>
      <c r="G26" s="70"/>
      <c r="H26" s="70">
        <f>SUM(D26:G26)</f>
        <v>0</v>
      </c>
    </row>
    <row r="27" spans="1:8" x14ac:dyDescent="0.2">
      <c r="A27" s="104" t="s">
        <v>10</v>
      </c>
      <c r="B27" s="105"/>
      <c r="C27" s="105"/>
      <c r="D27" s="105"/>
      <c r="E27" s="105"/>
      <c r="F27" s="105"/>
      <c r="G27" s="105"/>
      <c r="H27" s="105"/>
    </row>
    <row r="28" spans="1:8" x14ac:dyDescent="0.2">
      <c r="A28" s="17"/>
      <c r="B28" s="106" t="s">
        <v>11</v>
      </c>
      <c r="C28" s="107"/>
      <c r="D28" s="79">
        <f>D26+D24</f>
        <v>0</v>
      </c>
      <c r="E28" s="79">
        <f t="shared" ref="E28:G28" si="1">E26+E24</f>
        <v>3562725</v>
      </c>
      <c r="F28" s="79">
        <f t="shared" si="1"/>
        <v>76923</v>
      </c>
      <c r="G28" s="79">
        <f t="shared" si="1"/>
        <v>0</v>
      </c>
      <c r="H28" s="80">
        <f>SUM(D28:G28)</f>
        <v>3639648</v>
      </c>
    </row>
    <row r="29" spans="1:8" x14ac:dyDescent="0.2">
      <c r="A29" s="104" t="s">
        <v>12</v>
      </c>
      <c r="B29" s="105"/>
      <c r="C29" s="105"/>
      <c r="D29" s="105"/>
      <c r="E29" s="105"/>
      <c r="F29" s="105"/>
      <c r="G29" s="105"/>
      <c r="H29" s="105"/>
    </row>
    <row r="30" spans="1:8" x14ac:dyDescent="0.2">
      <c r="A30" s="17"/>
      <c r="B30" s="106" t="s">
        <v>13</v>
      </c>
      <c r="C30" s="107"/>
      <c r="D30" s="79">
        <f>D28</f>
        <v>0</v>
      </c>
      <c r="E30" s="79">
        <f t="shared" ref="E30:G30" si="2">E28</f>
        <v>3562725</v>
      </c>
      <c r="F30" s="79">
        <f t="shared" si="2"/>
        <v>76923</v>
      </c>
      <c r="G30" s="79">
        <f t="shared" si="2"/>
        <v>0</v>
      </c>
      <c r="H30" s="80">
        <f>SUM(D30:G30)</f>
        <v>3639648</v>
      </c>
    </row>
    <row r="31" spans="1:8" x14ac:dyDescent="0.2">
      <c r="A31" s="104" t="s">
        <v>14</v>
      </c>
      <c r="B31" s="105"/>
      <c r="C31" s="105"/>
      <c r="D31" s="105"/>
      <c r="E31" s="105"/>
      <c r="F31" s="105"/>
      <c r="G31" s="105"/>
      <c r="H31" s="105"/>
    </row>
    <row r="32" spans="1:8" ht="78.75" customHeight="1" x14ac:dyDescent="0.2">
      <c r="A32" s="15">
        <v>9</v>
      </c>
      <c r="B32" s="16" t="s">
        <v>58</v>
      </c>
      <c r="C32" s="16" t="s">
        <v>98</v>
      </c>
      <c r="D32" s="79"/>
      <c r="E32" s="80">
        <f>'расчет 1'!K11-'расчет 1'!M11-'расчет 1'!N11</f>
        <v>260031</v>
      </c>
      <c r="F32" s="79"/>
      <c r="G32" s="79"/>
      <c r="H32" s="80">
        <f>SUM(D32:G32)</f>
        <v>260031</v>
      </c>
    </row>
    <row r="33" spans="1:8" ht="78.75" customHeight="1" x14ac:dyDescent="0.2">
      <c r="A33" s="15">
        <v>10</v>
      </c>
      <c r="B33" s="16" t="s">
        <v>58</v>
      </c>
      <c r="C33" s="16" t="s">
        <v>99</v>
      </c>
      <c r="D33" s="79"/>
      <c r="E33" s="80">
        <f>'расчет 1'!K12-'расчет 1'!M12-'расчет 1'!N12</f>
        <v>273944</v>
      </c>
      <c r="F33" s="79"/>
      <c r="G33" s="79"/>
      <c r="H33" s="80">
        <f>SUM(D33:G33)</f>
        <v>273944</v>
      </c>
    </row>
    <row r="34" spans="1:8" ht="78.75" customHeight="1" x14ac:dyDescent="0.2">
      <c r="A34" s="15">
        <v>11</v>
      </c>
      <c r="B34" s="16" t="s">
        <v>58</v>
      </c>
      <c r="C34" s="16" t="s">
        <v>100</v>
      </c>
      <c r="D34" s="79"/>
      <c r="E34" s="80">
        <f>'расчет 1'!K13-'расчет 1'!M13-'расчет 1'!N13</f>
        <v>33765</v>
      </c>
      <c r="F34" s="79"/>
      <c r="G34" s="79"/>
      <c r="H34" s="80">
        <f>SUM(D34:G34)</f>
        <v>33765</v>
      </c>
    </row>
    <row r="35" spans="1:8" ht="78.75" customHeight="1" x14ac:dyDescent="0.2">
      <c r="A35" s="15">
        <v>11</v>
      </c>
      <c r="B35" s="16" t="s">
        <v>58</v>
      </c>
      <c r="C35" s="16" t="s">
        <v>101</v>
      </c>
      <c r="D35" s="79"/>
      <c r="E35" s="80">
        <f>'расчет 1'!K14-'расчет 1'!M14-'расчет 1'!N14</f>
        <v>336977</v>
      </c>
      <c r="F35" s="79"/>
      <c r="G35" s="79"/>
      <c r="H35" s="80">
        <f t="shared" ref="H35:H39" si="3">SUM(D35:G35)</f>
        <v>336977</v>
      </c>
    </row>
    <row r="36" spans="1:8" ht="78.75" customHeight="1" x14ac:dyDescent="0.2">
      <c r="A36" s="15">
        <v>11</v>
      </c>
      <c r="B36" s="16" t="s">
        <v>58</v>
      </c>
      <c r="C36" s="16" t="s">
        <v>102</v>
      </c>
      <c r="D36" s="79"/>
      <c r="E36" s="80">
        <f>'расчет 1'!K15-'расчет 1'!M15-'расчет 1'!N15</f>
        <v>134382</v>
      </c>
      <c r="F36" s="79"/>
      <c r="G36" s="79"/>
      <c r="H36" s="80">
        <f t="shared" si="3"/>
        <v>134382</v>
      </c>
    </row>
    <row r="37" spans="1:8" ht="78.75" customHeight="1" x14ac:dyDescent="0.2">
      <c r="A37" s="15">
        <v>11</v>
      </c>
      <c r="B37" s="16" t="s">
        <v>58</v>
      </c>
      <c r="C37" s="16" t="s">
        <v>103</v>
      </c>
      <c r="D37" s="79"/>
      <c r="E37" s="80">
        <f>'расчет 1'!K16-'расчет 1'!M16-'расчет 1'!N16</f>
        <v>187603</v>
      </c>
      <c r="F37" s="79"/>
      <c r="G37" s="79"/>
      <c r="H37" s="80">
        <f t="shared" si="3"/>
        <v>187603</v>
      </c>
    </row>
    <row r="38" spans="1:8" ht="78.75" customHeight="1" x14ac:dyDescent="0.2">
      <c r="A38" s="15">
        <v>11</v>
      </c>
      <c r="B38" s="16" t="s">
        <v>58</v>
      </c>
      <c r="C38" s="16" t="s">
        <v>104</v>
      </c>
      <c r="D38" s="79"/>
      <c r="E38" s="80">
        <f>'расчет 1'!K17-'расчет 1'!M17-'расчет 1'!N17</f>
        <v>141137</v>
      </c>
      <c r="F38" s="79"/>
      <c r="G38" s="79"/>
      <c r="H38" s="80">
        <f t="shared" si="3"/>
        <v>141137</v>
      </c>
    </row>
    <row r="39" spans="1:8" ht="78.75" customHeight="1" x14ac:dyDescent="0.2">
      <c r="A39" s="15">
        <v>11</v>
      </c>
      <c r="B39" s="16" t="s">
        <v>58</v>
      </c>
      <c r="C39" s="16" t="s">
        <v>105</v>
      </c>
      <c r="D39" s="79"/>
      <c r="E39" s="80">
        <f>'расчет 1'!K18-'расчет 1'!M18-'расчет 1'!N18</f>
        <v>187603</v>
      </c>
      <c r="F39" s="79"/>
      <c r="G39" s="79"/>
      <c r="H39" s="80">
        <f t="shared" si="3"/>
        <v>187603</v>
      </c>
    </row>
    <row r="40" spans="1:8" x14ac:dyDescent="0.2">
      <c r="A40" s="15">
        <v>12</v>
      </c>
      <c r="B40" s="16" t="s">
        <v>58</v>
      </c>
      <c r="C40" s="16" t="s">
        <v>114</v>
      </c>
      <c r="D40" s="79"/>
      <c r="E40" s="80">
        <f>'расчет 1'!J11</f>
        <v>102312</v>
      </c>
      <c r="F40" s="79"/>
      <c r="G40" s="79"/>
      <c r="H40" s="80"/>
    </row>
    <row r="41" spans="1:8" x14ac:dyDescent="0.2">
      <c r="A41" s="15">
        <v>13</v>
      </c>
      <c r="B41" s="16" t="s">
        <v>58</v>
      </c>
      <c r="C41" s="16" t="s">
        <v>115</v>
      </c>
      <c r="D41" s="79"/>
      <c r="E41" s="80">
        <f>'расчет 1'!J12</f>
        <v>107785</v>
      </c>
      <c r="F41" s="79"/>
      <c r="G41" s="79"/>
      <c r="H41" s="80"/>
    </row>
    <row r="42" spans="1:8" x14ac:dyDescent="0.2">
      <c r="A42" s="15">
        <v>14</v>
      </c>
      <c r="B42" s="16" t="s">
        <v>58</v>
      </c>
      <c r="C42" s="16" t="s">
        <v>116</v>
      </c>
      <c r="D42" s="79"/>
      <c r="E42" s="80">
        <f>'расчет 1'!J16</f>
        <v>73814</v>
      </c>
      <c r="F42" s="79"/>
      <c r="G42" s="79"/>
      <c r="H42" s="80"/>
    </row>
    <row r="43" spans="1:8" x14ac:dyDescent="0.2">
      <c r="A43" s="15">
        <v>15</v>
      </c>
      <c r="B43" s="16" t="s">
        <v>58</v>
      </c>
      <c r="C43" s="16" t="s">
        <v>117</v>
      </c>
      <c r="D43" s="79"/>
      <c r="E43" s="80">
        <f>'расчет 1'!J17</f>
        <v>55532</v>
      </c>
      <c r="F43" s="79"/>
      <c r="G43" s="79"/>
      <c r="H43" s="80"/>
    </row>
    <row r="44" spans="1:8" x14ac:dyDescent="0.2">
      <c r="A44" s="15">
        <v>15</v>
      </c>
      <c r="B44" s="16" t="s">
        <v>58</v>
      </c>
      <c r="C44" s="16" t="s">
        <v>118</v>
      </c>
      <c r="D44" s="79"/>
      <c r="E44" s="80">
        <f>'расчет 1'!J18</f>
        <v>73814</v>
      </c>
      <c r="F44" s="79"/>
      <c r="G44" s="79"/>
      <c r="H44" s="80"/>
    </row>
    <row r="45" spans="1:8" x14ac:dyDescent="0.2">
      <c r="A45" s="17"/>
      <c r="B45" s="106" t="s">
        <v>15</v>
      </c>
      <c r="C45" s="107"/>
      <c r="D45" s="79">
        <f>SUM(D32:D32)</f>
        <v>0</v>
      </c>
      <c r="E45" s="79">
        <f>SUM(E32:E44)</f>
        <v>1968699</v>
      </c>
      <c r="F45" s="79">
        <f>SUM(F32:F32)</f>
        <v>0</v>
      </c>
      <c r="G45" s="79">
        <f>SUM(G32:G32)</f>
        <v>0</v>
      </c>
      <c r="H45" s="80">
        <f t="shared" ref="H45" si="4">SUM(D45:G45)</f>
        <v>1968699</v>
      </c>
    </row>
    <row r="46" spans="1:8" x14ac:dyDescent="0.2">
      <c r="A46" s="17"/>
      <c r="B46" s="106" t="s">
        <v>16</v>
      </c>
      <c r="C46" s="107"/>
      <c r="D46" s="79">
        <f>D30+D45</f>
        <v>0</v>
      </c>
      <c r="E46" s="79">
        <f>E30+E45</f>
        <v>5531424</v>
      </c>
      <c r="F46" s="79">
        <f>F30+F45</f>
        <v>76923</v>
      </c>
      <c r="G46" s="79">
        <f>G30+G45</f>
        <v>0</v>
      </c>
      <c r="H46" s="80">
        <f>SUM(D46:G46)</f>
        <v>5608347</v>
      </c>
    </row>
    <row r="47" spans="1:8" x14ac:dyDescent="0.2">
      <c r="A47" s="104" t="s">
        <v>17</v>
      </c>
      <c r="B47" s="105"/>
      <c r="C47" s="105"/>
      <c r="D47" s="105"/>
      <c r="E47" s="105"/>
      <c r="F47" s="105"/>
      <c r="G47" s="105"/>
      <c r="H47" s="105"/>
    </row>
    <row r="48" spans="1:8" x14ac:dyDescent="0.2">
      <c r="A48" s="17"/>
      <c r="B48" s="106" t="s">
        <v>18</v>
      </c>
      <c r="C48" s="107"/>
      <c r="D48" s="79"/>
      <c r="E48" s="79"/>
      <c r="F48" s="79"/>
      <c r="G48" s="79"/>
      <c r="H48" s="80">
        <f t="shared" ref="H48" si="5">SUM(D48:G48)</f>
        <v>0</v>
      </c>
    </row>
    <row r="49" spans="1:16" x14ac:dyDescent="0.2">
      <c r="A49" s="104" t="s">
        <v>19</v>
      </c>
      <c r="B49" s="105"/>
      <c r="C49" s="105"/>
      <c r="D49" s="105"/>
      <c r="E49" s="105"/>
      <c r="F49" s="105"/>
      <c r="G49" s="105"/>
      <c r="H49" s="105"/>
    </row>
    <row r="50" spans="1:16" ht="25.5" x14ac:dyDescent="0.2">
      <c r="A50" s="15">
        <v>12</v>
      </c>
      <c r="B50" s="16" t="s">
        <v>58</v>
      </c>
      <c r="C50" s="16" t="s">
        <v>106</v>
      </c>
      <c r="D50" s="80">
        <f>'расчет 1'!M11</f>
        <v>46783</v>
      </c>
      <c r="E50" s="79"/>
      <c r="F50" s="79"/>
      <c r="G50" s="79"/>
      <c r="H50" s="80">
        <f>SUM(D50:G50)</f>
        <v>46783</v>
      </c>
    </row>
    <row r="51" spans="1:16" ht="25.5" x14ac:dyDescent="0.2">
      <c r="A51" s="15">
        <v>13</v>
      </c>
      <c r="B51" s="16" t="s">
        <v>58</v>
      </c>
      <c r="C51" s="16" t="s">
        <v>107</v>
      </c>
      <c r="D51" s="80">
        <f>'расчет 1'!M12</f>
        <v>49285</v>
      </c>
      <c r="E51" s="79"/>
      <c r="F51" s="79"/>
      <c r="G51" s="79"/>
      <c r="H51" s="80">
        <f>SUM(D51:G51)</f>
        <v>49285</v>
      </c>
    </row>
    <row r="52" spans="1:16" ht="25.5" x14ac:dyDescent="0.2">
      <c r="A52" s="15">
        <v>14</v>
      </c>
      <c r="B52" s="16" t="s">
        <v>58</v>
      </c>
      <c r="C52" s="16" t="s">
        <v>108</v>
      </c>
      <c r="D52" s="80">
        <f>'расчет 1'!M13</f>
        <v>4196</v>
      </c>
      <c r="E52" s="79"/>
      <c r="F52" s="79"/>
      <c r="G52" s="79"/>
      <c r="H52" s="80">
        <f>SUM(D52:G52)</f>
        <v>4196</v>
      </c>
    </row>
    <row r="53" spans="1:16" ht="25.5" x14ac:dyDescent="0.2">
      <c r="A53" s="15">
        <v>14</v>
      </c>
      <c r="B53" s="16" t="s">
        <v>58</v>
      </c>
      <c r="C53" s="16" t="s">
        <v>109</v>
      </c>
      <c r="D53" s="80">
        <f>'расчет 1'!M14</f>
        <v>42375</v>
      </c>
      <c r="E53" s="79"/>
      <c r="F53" s="79"/>
      <c r="G53" s="79"/>
      <c r="H53" s="80">
        <f t="shared" ref="H53:H57" si="6">SUM(D53:G53)</f>
        <v>42375</v>
      </c>
    </row>
    <row r="54" spans="1:16" ht="25.5" x14ac:dyDescent="0.2">
      <c r="A54" s="15">
        <v>14</v>
      </c>
      <c r="B54" s="16" t="s">
        <v>58</v>
      </c>
      <c r="C54" s="16" t="s">
        <v>110</v>
      </c>
      <c r="D54" s="80">
        <f>'расчет 1'!M15</f>
        <v>17202</v>
      </c>
      <c r="E54" s="79"/>
      <c r="F54" s="79"/>
      <c r="G54" s="79"/>
      <c r="H54" s="80">
        <f t="shared" si="6"/>
        <v>17202</v>
      </c>
    </row>
    <row r="55" spans="1:16" ht="25.5" x14ac:dyDescent="0.2">
      <c r="A55" s="15">
        <v>14</v>
      </c>
      <c r="B55" s="16" t="s">
        <v>58</v>
      </c>
      <c r="C55" s="16" t="s">
        <v>111</v>
      </c>
      <c r="D55" s="80">
        <f>'расчет 1'!M16</f>
        <v>33752</v>
      </c>
      <c r="E55" s="79"/>
      <c r="F55" s="79"/>
      <c r="G55" s="79"/>
      <c r="H55" s="80">
        <f t="shared" si="6"/>
        <v>33752</v>
      </c>
    </row>
    <row r="56" spans="1:16" ht="25.5" x14ac:dyDescent="0.2">
      <c r="A56" s="15">
        <v>14</v>
      </c>
      <c r="B56" s="16" t="s">
        <v>58</v>
      </c>
      <c r="C56" s="16" t="s">
        <v>112</v>
      </c>
      <c r="D56" s="80">
        <f>'расчет 1'!M17</f>
        <v>25392</v>
      </c>
      <c r="E56" s="79"/>
      <c r="F56" s="79"/>
      <c r="G56" s="79"/>
      <c r="H56" s="80">
        <f t="shared" si="6"/>
        <v>25392</v>
      </c>
    </row>
    <row r="57" spans="1:16" ht="25.5" x14ac:dyDescent="0.2">
      <c r="A57" s="15">
        <v>14</v>
      </c>
      <c r="B57" s="16" t="s">
        <v>58</v>
      </c>
      <c r="C57" s="16" t="s">
        <v>113</v>
      </c>
      <c r="D57" s="80">
        <f>'расчет 1'!M18</f>
        <v>33752</v>
      </c>
      <c r="E57" s="79"/>
      <c r="F57" s="79"/>
      <c r="G57" s="79"/>
      <c r="H57" s="80">
        <f t="shared" si="6"/>
        <v>33752</v>
      </c>
    </row>
    <row r="58" spans="1:16" ht="27.95" customHeight="1" x14ac:dyDescent="0.2">
      <c r="A58" s="17"/>
      <c r="B58" s="106" t="s">
        <v>20</v>
      </c>
      <c r="C58" s="107"/>
      <c r="D58" s="80">
        <f>SUM(D50:D57)</f>
        <v>252737</v>
      </c>
      <c r="E58" s="80">
        <f>SUM(E50:E50)</f>
        <v>0</v>
      </c>
      <c r="F58" s="80">
        <f>SUM(F50:F50)</f>
        <v>0</v>
      </c>
      <c r="G58" s="80">
        <f>SUM(G50:G50)</f>
        <v>0</v>
      </c>
      <c r="H58" s="80">
        <f t="shared" ref="H58" si="7">SUM(D58:G58)</f>
        <v>252737</v>
      </c>
    </row>
    <row r="59" spans="1:16" s="18" customFormat="1" ht="21.75" customHeight="1" x14ac:dyDescent="0.2">
      <c r="A59" s="66"/>
      <c r="B59" s="95" t="s">
        <v>72</v>
      </c>
      <c r="C59" s="96"/>
      <c r="D59" s="81">
        <f>D58+D46</f>
        <v>252737</v>
      </c>
      <c r="E59" s="81">
        <f t="shared" ref="E59:G59" si="8">E58+E46</f>
        <v>5531424</v>
      </c>
      <c r="F59" s="81">
        <f t="shared" si="8"/>
        <v>76923</v>
      </c>
      <c r="G59" s="81">
        <f t="shared" si="8"/>
        <v>0</v>
      </c>
      <c r="H59" s="81">
        <f>SUM(D59:G59)</f>
        <v>5861084</v>
      </c>
      <c r="I59" s="51"/>
    </row>
    <row r="60" spans="1:16" ht="12.75" customHeight="1" x14ac:dyDescent="0.2">
      <c r="A60" s="97" t="s">
        <v>79</v>
      </c>
      <c r="B60" s="98"/>
      <c r="C60" s="98"/>
      <c r="D60" s="98"/>
      <c r="E60" s="98"/>
      <c r="F60" s="98"/>
      <c r="G60" s="98"/>
      <c r="H60" s="99"/>
    </row>
    <row r="61" spans="1:16" s="39" customFormat="1" x14ac:dyDescent="0.2">
      <c r="A61" s="38" t="s">
        <v>57</v>
      </c>
      <c r="B61" s="19">
        <v>2021</v>
      </c>
      <c r="C61" s="67">
        <v>1.0509999999999999</v>
      </c>
      <c r="D61" s="49">
        <f>ROUND(D59*$C$61,0)</f>
        <v>265627</v>
      </c>
      <c r="E61" s="49">
        <f>ROUND(E59*$C$61,0)</f>
        <v>5813527</v>
      </c>
      <c r="F61" s="49">
        <f>ROUND(F59*$C$61,0)</f>
        <v>80846</v>
      </c>
      <c r="G61" s="49">
        <f>ROUND(G59*$C$61,0)</f>
        <v>0</v>
      </c>
      <c r="H61" s="50">
        <f t="shared" ref="H61:H64" si="9">D61+E61+F61+G61</f>
        <v>6160000</v>
      </c>
      <c r="I61" s="94"/>
    </row>
    <row r="62" spans="1:16" s="39" customFormat="1" x14ac:dyDescent="0.2">
      <c r="A62" s="38" t="s">
        <v>24</v>
      </c>
      <c r="B62" s="19">
        <v>2022</v>
      </c>
      <c r="C62" s="67">
        <v>1.048</v>
      </c>
      <c r="D62" s="49">
        <v>0</v>
      </c>
      <c r="E62" s="49">
        <v>0</v>
      </c>
      <c r="F62" s="49">
        <v>0</v>
      </c>
      <c r="G62" s="49">
        <v>0</v>
      </c>
      <c r="H62" s="50">
        <f>D62+E62+F62+G62</f>
        <v>0</v>
      </c>
      <c r="I62" s="5"/>
      <c r="O62" s="40"/>
      <c r="P62" s="40"/>
    </row>
    <row r="63" spans="1:16" s="39" customFormat="1" x14ac:dyDescent="0.2">
      <c r="A63" s="38" t="s">
        <v>55</v>
      </c>
      <c r="B63" s="19">
        <v>2023</v>
      </c>
      <c r="C63" s="67">
        <v>1.0469999999999999</v>
      </c>
      <c r="D63" s="49">
        <v>0</v>
      </c>
      <c r="E63" s="49">
        <v>0</v>
      </c>
      <c r="F63" s="49">
        <v>0</v>
      </c>
      <c r="G63" s="49">
        <v>0</v>
      </c>
      <c r="H63" s="50">
        <f t="shared" si="9"/>
        <v>0</v>
      </c>
      <c r="I63" s="5"/>
      <c r="O63" s="42"/>
      <c r="P63" s="40"/>
    </row>
    <row r="64" spans="1:16" s="39" customFormat="1" x14ac:dyDescent="0.2">
      <c r="A64" s="38" t="s">
        <v>56</v>
      </c>
      <c r="B64" s="19">
        <v>2024</v>
      </c>
      <c r="C64" s="67">
        <v>1.038</v>
      </c>
      <c r="D64" s="49">
        <v>0</v>
      </c>
      <c r="E64" s="49">
        <v>0</v>
      </c>
      <c r="F64" s="49">
        <v>0</v>
      </c>
      <c r="G64" s="49">
        <v>0</v>
      </c>
      <c r="H64" s="50">
        <f t="shared" si="9"/>
        <v>0</v>
      </c>
      <c r="I64" s="5"/>
      <c r="O64" s="42"/>
      <c r="P64" s="40"/>
    </row>
    <row r="65" spans="1:16" s="39" customFormat="1" x14ac:dyDescent="0.2">
      <c r="A65" s="38" t="s">
        <v>56</v>
      </c>
      <c r="B65" s="19">
        <v>2025</v>
      </c>
      <c r="C65" s="67">
        <v>1.0429999999999999</v>
      </c>
      <c r="D65" s="49">
        <v>0</v>
      </c>
      <c r="E65" s="49">
        <v>0</v>
      </c>
      <c r="F65" s="49">
        <v>0</v>
      </c>
      <c r="G65" s="49">
        <v>0</v>
      </c>
      <c r="H65" s="50">
        <f t="shared" ref="H65" si="10">D65+E65+F65+G65</f>
        <v>0</v>
      </c>
      <c r="I65" s="5"/>
      <c r="O65" s="42"/>
      <c r="P65" s="40"/>
    </row>
    <row r="66" spans="1:16" ht="16.5" customHeight="1" x14ac:dyDescent="0.2">
      <c r="A66" s="100" t="s">
        <v>80</v>
      </c>
      <c r="B66" s="101"/>
      <c r="C66" s="102"/>
      <c r="D66" s="56">
        <f>D65+D61+D62+D63+D64</f>
        <v>265627</v>
      </c>
      <c r="E66" s="56">
        <f t="shared" ref="E66:G66" si="11">E65+E61+E62+E63+E64</f>
        <v>5813527</v>
      </c>
      <c r="F66" s="56">
        <f t="shared" si="11"/>
        <v>80846</v>
      </c>
      <c r="G66" s="56">
        <f t="shared" si="11"/>
        <v>0</v>
      </c>
      <c r="H66" s="56">
        <f>D66+E66+F66+G66</f>
        <v>6160000</v>
      </c>
      <c r="I66" s="90"/>
    </row>
    <row r="67" spans="1:16" s="37" customFormat="1" ht="18" customHeight="1" x14ac:dyDescent="0.2">
      <c r="A67" s="100" t="s">
        <v>78</v>
      </c>
      <c r="B67" s="101"/>
      <c r="C67" s="102"/>
      <c r="D67" s="82">
        <f>ROUND(D66*0.2,2)</f>
        <v>53125.4</v>
      </c>
      <c r="E67" s="82">
        <f t="shared" ref="E67:G67" si="12">ROUND(E66*0.2,2)</f>
        <v>1162705.3999999999</v>
      </c>
      <c r="F67" s="82">
        <f t="shared" si="12"/>
        <v>16169.2</v>
      </c>
      <c r="G67" s="82">
        <f t="shared" si="12"/>
        <v>0</v>
      </c>
      <c r="H67" s="82">
        <f>SUM(D67:G67)</f>
        <v>1231999.9999999998</v>
      </c>
    </row>
    <row r="68" spans="1:16" ht="16.5" customHeight="1" x14ac:dyDescent="0.2">
      <c r="A68" s="100" t="s">
        <v>81</v>
      </c>
      <c r="B68" s="101"/>
      <c r="C68" s="102"/>
      <c r="D68" s="56">
        <f>D66+D67</f>
        <v>318752.40000000002</v>
      </c>
      <c r="E68" s="56">
        <f t="shared" ref="E68:G68" si="13">E66+E67</f>
        <v>6976232.4000000004</v>
      </c>
      <c r="F68" s="56">
        <f t="shared" si="13"/>
        <v>97015.2</v>
      </c>
      <c r="G68" s="56">
        <f t="shared" si="13"/>
        <v>0</v>
      </c>
      <c r="H68" s="56">
        <f>D68+E68+F68+G68</f>
        <v>7392000.0000000009</v>
      </c>
    </row>
  </sheetData>
  <mergeCells count="29">
    <mergeCell ref="A68:C68"/>
    <mergeCell ref="B28:C28"/>
    <mergeCell ref="A10:A13"/>
    <mergeCell ref="B10:B13"/>
    <mergeCell ref="C10:C13"/>
    <mergeCell ref="A27:H27"/>
    <mergeCell ref="A47:H47"/>
    <mergeCell ref="B48:C48"/>
    <mergeCell ref="A49:H49"/>
    <mergeCell ref="B58:C58"/>
    <mergeCell ref="A29:H29"/>
    <mergeCell ref="B30:C30"/>
    <mergeCell ref="A31:H31"/>
    <mergeCell ref="B45:C45"/>
    <mergeCell ref="B46:C46"/>
    <mergeCell ref="A67:C67"/>
    <mergeCell ref="B59:C59"/>
    <mergeCell ref="A60:H60"/>
    <mergeCell ref="A66:C66"/>
    <mergeCell ref="D10:G10"/>
    <mergeCell ref="A15:H15"/>
    <mergeCell ref="B24:C24"/>
    <mergeCell ref="A25:H25"/>
    <mergeCell ref="B26:C26"/>
    <mergeCell ref="H10:H13"/>
    <mergeCell ref="D11:D13"/>
    <mergeCell ref="E11:E13"/>
    <mergeCell ref="F11:F13"/>
    <mergeCell ref="G11:G13"/>
  </mergeCells>
  <pageMargins left="0.78740157480314965" right="0.39370078740157483" top="0.43307086614173229" bottom="0.47244094488188981" header="0.23622047244094491" footer="0.23622047244094491"/>
  <pageSetup paperSize="9" scale="92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opLeftCell="A4" zoomScale="85" zoomScaleNormal="85" workbookViewId="0">
      <selection activeCell="B7" sqref="B7:G7"/>
    </sheetView>
  </sheetViews>
  <sheetFormatPr defaultRowHeight="12.75" x14ac:dyDescent="0.2"/>
  <cols>
    <col min="1" max="1" width="3.85546875" style="20" customWidth="1"/>
    <col min="2" max="2" width="34.42578125" style="20" customWidth="1"/>
    <col min="3" max="3" width="10.28515625" style="20" customWidth="1"/>
    <col min="4" max="4" width="11" style="20" customWidth="1"/>
    <col min="5" max="5" width="7.85546875" style="20" customWidth="1"/>
    <col min="6" max="6" width="14.5703125" style="20" customWidth="1"/>
    <col min="7" max="7" width="13.42578125" style="20" customWidth="1"/>
    <col min="8" max="12" width="15.7109375" style="20" customWidth="1"/>
    <col min="13" max="14" width="12.85546875" style="20" customWidth="1"/>
    <col min="15" max="15" width="11.42578125" style="20" customWidth="1"/>
    <col min="16" max="16384" width="9.140625" style="20"/>
  </cols>
  <sheetData>
    <row r="1" spans="1:15" ht="18.75" x14ac:dyDescent="0.3">
      <c r="A1" s="117" t="s">
        <v>54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15" x14ac:dyDescent="0.2">
      <c r="G2" s="34"/>
    </row>
    <row r="3" spans="1:15" s="83" customFormat="1" ht="15" customHeight="1" x14ac:dyDescent="0.25">
      <c r="A3" s="121" t="s">
        <v>53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1:15" s="85" customFormat="1" ht="15" x14ac:dyDescent="0.25">
      <c r="A4" s="122" t="s">
        <v>76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4"/>
    </row>
    <row r="5" spans="1:15" s="87" customFormat="1" ht="15.75" customHeight="1" x14ac:dyDescent="0.25">
      <c r="A5" s="86"/>
      <c r="B5" s="120" t="s">
        <v>75</v>
      </c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86"/>
      <c r="N5" s="86"/>
      <c r="O5" s="86"/>
    </row>
    <row r="6" spans="1:15" ht="15.75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5" s="32" customFormat="1" ht="15.75" x14ac:dyDescent="0.25">
      <c r="A7" s="33"/>
      <c r="B7" s="124" t="str">
        <f>Т!D5</f>
        <v>Реконструкция распределительных сетей 0,4 кВ п.Соловей Ключ, с.Ключевое</v>
      </c>
      <c r="C7" s="125"/>
      <c r="D7" s="125"/>
      <c r="E7" s="125"/>
      <c r="F7" s="125"/>
      <c r="G7" s="125"/>
      <c r="I7" s="43"/>
      <c r="J7" s="41"/>
      <c r="K7" s="41"/>
    </row>
    <row r="9" spans="1:15" x14ac:dyDescent="0.2">
      <c r="A9" s="112" t="s">
        <v>52</v>
      </c>
      <c r="B9" s="112" t="s">
        <v>51</v>
      </c>
      <c r="C9" s="112" t="s">
        <v>50</v>
      </c>
      <c r="D9" s="112" t="s">
        <v>49</v>
      </c>
      <c r="E9" s="112" t="s">
        <v>48</v>
      </c>
      <c r="F9" s="114" t="s">
        <v>47</v>
      </c>
      <c r="G9" s="112" t="s">
        <v>46</v>
      </c>
      <c r="H9" s="112" t="s">
        <v>77</v>
      </c>
      <c r="I9" s="112"/>
      <c r="J9" s="112"/>
      <c r="K9" s="112"/>
      <c r="L9" s="118" t="s">
        <v>45</v>
      </c>
      <c r="M9" s="111" t="s">
        <v>44</v>
      </c>
      <c r="N9" s="111"/>
      <c r="O9" s="88"/>
    </row>
    <row r="10" spans="1:15" ht="72" customHeight="1" x14ac:dyDescent="0.2">
      <c r="A10" s="112"/>
      <c r="B10" s="112"/>
      <c r="C10" s="112"/>
      <c r="D10" s="113"/>
      <c r="E10" s="112"/>
      <c r="F10" s="114"/>
      <c r="G10" s="113"/>
      <c r="H10" s="31" t="s">
        <v>82</v>
      </c>
      <c r="I10" s="31" t="s">
        <v>43</v>
      </c>
      <c r="J10" s="31" t="s">
        <v>42</v>
      </c>
      <c r="K10" s="31" t="s">
        <v>41</v>
      </c>
      <c r="L10" s="119"/>
      <c r="M10" s="30" t="s">
        <v>22</v>
      </c>
      <c r="N10" s="30" t="s">
        <v>40</v>
      </c>
    </row>
    <row r="11" spans="1:15" ht="57.75" customHeight="1" x14ac:dyDescent="0.2">
      <c r="A11" s="71">
        <v>1</v>
      </c>
      <c r="B11" s="76" t="s">
        <v>85</v>
      </c>
      <c r="C11" s="57" t="s">
        <v>86</v>
      </c>
      <c r="D11" s="123">
        <v>276</v>
      </c>
      <c r="E11" s="58">
        <v>1</v>
      </c>
      <c r="F11" s="58">
        <f>ROUND(((1.5+2.5+7.5+5+1.5)/100+1)*1.12,3)</f>
        <v>1.3220000000000001</v>
      </c>
      <c r="G11" s="59">
        <f t="shared" ref="G11" si="0">ROUND((D11*E11*F11),2)</f>
        <v>364.87</v>
      </c>
      <c r="H11" s="60">
        <f>ROUND((0.455*G11*1.09*$H$21*1000*10.14),0)-1</f>
        <v>675783</v>
      </c>
      <c r="I11" s="60">
        <f>ROUND((0.3*G11*1.09*$H$21*1000*5.27),0)*0</f>
        <v>0</v>
      </c>
      <c r="J11" s="60">
        <f>ROUND((0.025*G11*1.09*$H$21*1000*27.94),0)</f>
        <v>102312</v>
      </c>
      <c r="K11" s="60">
        <f>ROUND((0.22*G11*1.09*$H$21*1000*10.42),0)</f>
        <v>335775</v>
      </c>
      <c r="L11" s="74">
        <f>SUM(H11:K11)</f>
        <v>1113870</v>
      </c>
      <c r="M11" s="69">
        <f>ROUND((L11*0.07)*0.6,0)</f>
        <v>46783</v>
      </c>
      <c r="N11" s="69">
        <f>ROUND((L11*0.026),0)</f>
        <v>28961</v>
      </c>
      <c r="O11" s="93"/>
    </row>
    <row r="12" spans="1:15" ht="60" customHeight="1" x14ac:dyDescent="0.2">
      <c r="A12" s="77">
        <v>2</v>
      </c>
      <c r="B12" s="76" t="s">
        <v>91</v>
      </c>
      <c r="C12" s="57" t="s">
        <v>88</v>
      </c>
      <c r="D12" s="123">
        <v>298.89999999999998</v>
      </c>
      <c r="E12" s="58">
        <v>1</v>
      </c>
      <c r="F12" s="58">
        <f>ROUND(((1.5+2.5+7.5+5+1.5)/100+1)*1.09,3)</f>
        <v>1.286</v>
      </c>
      <c r="G12" s="59">
        <f t="shared" ref="G12" si="1">ROUND((D12*E12*F12),2)</f>
        <v>384.39</v>
      </c>
      <c r="H12" s="60">
        <f>ROUND((0.455*G12*1.09*$H$21*1000*10.14),0)</f>
        <v>711937</v>
      </c>
      <c r="I12" s="60">
        <f>ROUND((0.3*G12*1.09*$H$21*1000*5.27),0)*0</f>
        <v>0</v>
      </c>
      <c r="J12" s="60">
        <f>ROUND((0.025*G12*1.09*$H$21*1000*27.94),0)</f>
        <v>107785</v>
      </c>
      <c r="K12" s="60">
        <f>ROUND((0.22*G12*1.09*$H$21*1000*10.42),0)</f>
        <v>353739</v>
      </c>
      <c r="L12" s="74">
        <f t="shared" ref="L12:L13" si="2">SUM(H12:K12)</f>
        <v>1173461</v>
      </c>
      <c r="M12" s="69">
        <f t="shared" ref="M12:M13" si="3">ROUND((L12*0.07)*0.6,0)</f>
        <v>49285</v>
      </c>
      <c r="N12" s="69">
        <f t="shared" ref="N12:N13" si="4">ROUND((L12*0.026),0)</f>
        <v>30510</v>
      </c>
      <c r="O12" s="93"/>
    </row>
    <row r="13" spans="1:15" ht="58.5" customHeight="1" x14ac:dyDescent="0.2">
      <c r="A13" s="77">
        <v>3</v>
      </c>
      <c r="B13" s="76" t="s">
        <v>87</v>
      </c>
      <c r="C13" s="57" t="s">
        <v>61</v>
      </c>
      <c r="D13" s="123">
        <v>229.2</v>
      </c>
      <c r="E13" s="58">
        <v>0.2</v>
      </c>
      <c r="F13" s="58">
        <f>ROUND(((1.5+2.5+7.5+5+1.5)/100+1)*1.12,3)</f>
        <v>1.3220000000000001</v>
      </c>
      <c r="G13" s="59">
        <f t="shared" ref="G13" si="5">ROUND((D13*E13*F13),2)</f>
        <v>60.6</v>
      </c>
      <c r="H13" s="60">
        <f>ROUND(((0.8*G13*1.09*$H$21*1000*6.49)-(5*10000+0.2*110500)),0)</f>
        <v>54207</v>
      </c>
      <c r="I13" s="60">
        <f>ROUND((0.04*G13*1.09*$H$21*1000*5.27),0)</f>
        <v>5128</v>
      </c>
      <c r="J13" s="60">
        <f>ROUND((0*G13*1.09*$H$21*1000*27.94),0)</f>
        <v>0</v>
      </c>
      <c r="K13" s="60">
        <f>ROUND((0.16*G13*1.09*$H$21*1000*10.42),0)</f>
        <v>40558</v>
      </c>
      <c r="L13" s="74">
        <f t="shared" si="2"/>
        <v>99893</v>
      </c>
      <c r="M13" s="69">
        <f t="shared" si="3"/>
        <v>4196</v>
      </c>
      <c r="N13" s="69">
        <f t="shared" si="4"/>
        <v>2597</v>
      </c>
      <c r="O13" s="93"/>
    </row>
    <row r="14" spans="1:15" ht="58.5" customHeight="1" x14ac:dyDescent="0.2">
      <c r="A14" s="78">
        <v>4</v>
      </c>
      <c r="B14" s="76" t="s">
        <v>89</v>
      </c>
      <c r="C14" s="57" t="s">
        <v>61</v>
      </c>
      <c r="D14" s="123">
        <v>229.2</v>
      </c>
      <c r="E14" s="58">
        <v>2</v>
      </c>
      <c r="F14" s="58">
        <f>ROUND(((1.5+2.5+7.5+5+1.5)/100+1)*1.12,3)</f>
        <v>1.3220000000000001</v>
      </c>
      <c r="G14" s="59">
        <f t="shared" ref="G14" si="6">ROUND((D14*E14*F14),2)</f>
        <v>606</v>
      </c>
      <c r="H14" s="60">
        <f>ROUND(((0.8*G14*1.09*$H$21*1000*6.49)-(49*10000+2*110500)),0)</f>
        <v>552070</v>
      </c>
      <c r="I14" s="60">
        <f>ROUND((0.04*G14*1.09*$H$21*1000*5.27),0)</f>
        <v>51282</v>
      </c>
      <c r="J14" s="60">
        <f>ROUND((0*G14*1.09*$H$21*1000*27.94),0)</f>
        <v>0</v>
      </c>
      <c r="K14" s="60">
        <f>ROUND((0.16*G14*1.09*$H$21*1000*10.42),0)</f>
        <v>405584</v>
      </c>
      <c r="L14" s="74">
        <f t="shared" ref="L14" si="7">SUM(H14:K14)</f>
        <v>1008936</v>
      </c>
      <c r="M14" s="69">
        <f t="shared" ref="M14" si="8">ROUND((L14*0.07)*0.6,0)</f>
        <v>42375</v>
      </c>
      <c r="N14" s="69">
        <f t="shared" ref="N14" si="9">ROUND((L14*0.026),0)</f>
        <v>26232</v>
      </c>
      <c r="O14" s="93"/>
    </row>
    <row r="15" spans="1:15" ht="58.5" customHeight="1" x14ac:dyDescent="0.2">
      <c r="A15" s="78">
        <v>5</v>
      </c>
      <c r="B15" s="76" t="s">
        <v>90</v>
      </c>
      <c r="C15" s="57" t="s">
        <v>61</v>
      </c>
      <c r="D15" s="123">
        <v>229.2</v>
      </c>
      <c r="E15" s="58">
        <v>0.8</v>
      </c>
      <c r="F15" s="58">
        <f>ROUND(((1.5+2.5+7.5+5+1.5)/100+1)*1.12,3)</f>
        <v>1.3220000000000001</v>
      </c>
      <c r="G15" s="59">
        <f t="shared" ref="G15:G18" si="10">ROUND((D15*E15*F15),2)</f>
        <v>242.4</v>
      </c>
      <c r="H15" s="60">
        <f>ROUND(((0.8*G15*1.09*$H$21*1000*6.49)-(19*10000+0.8*110500)),0)</f>
        <v>226828</v>
      </c>
      <c r="I15" s="60">
        <f>ROUND((0.04*G15*1.09*$H$21*1000*5.27),0)</f>
        <v>20513</v>
      </c>
      <c r="J15" s="60">
        <f>ROUND((0*G15*1.09*$H$21*1000*27.94),0)</f>
        <v>0</v>
      </c>
      <c r="K15" s="60">
        <f>ROUND((0.16*G15*1.09*$H$21*1000*10.42),0)</f>
        <v>162233</v>
      </c>
      <c r="L15" s="74">
        <f t="shared" ref="L15:L18" si="11">SUM(H15:K15)</f>
        <v>409574</v>
      </c>
      <c r="M15" s="69">
        <f t="shared" ref="M15:M18" si="12">ROUND((L15*0.07)*0.6,0)</f>
        <v>17202</v>
      </c>
      <c r="N15" s="69">
        <f t="shared" ref="N15:N18" si="13">ROUND((L15*0.026),0)</f>
        <v>10649</v>
      </c>
      <c r="O15" s="93"/>
    </row>
    <row r="16" spans="1:15" ht="60" customHeight="1" x14ac:dyDescent="0.2">
      <c r="A16" s="78">
        <v>6</v>
      </c>
      <c r="B16" s="76" t="s">
        <v>92</v>
      </c>
      <c r="C16" s="57" t="s">
        <v>88</v>
      </c>
      <c r="D16" s="123">
        <v>204.7</v>
      </c>
      <c r="E16" s="58">
        <v>1</v>
      </c>
      <c r="F16" s="58">
        <f t="shared" ref="F16:F18" si="14">ROUND(((1.5+2.5+7.5+5+1.5)/100+1)*1.09,3)</f>
        <v>1.286</v>
      </c>
      <c r="G16" s="59">
        <f t="shared" si="10"/>
        <v>263.24</v>
      </c>
      <c r="H16" s="60">
        <f t="shared" ref="H16:H18" si="15">ROUND((0.455*G16*1.09*$H$21*1000*10.14),0)</f>
        <v>487553</v>
      </c>
      <c r="I16" s="60">
        <f t="shared" ref="I16:I18" si="16">ROUND((0.3*G16*1.09*$H$21*1000*5.27),0)*0</f>
        <v>0</v>
      </c>
      <c r="J16" s="60">
        <f t="shared" ref="J16:J18" si="17">ROUND((0.025*G16*1.09*$H$21*1000*27.94),0)</f>
        <v>73814</v>
      </c>
      <c r="K16" s="60">
        <f t="shared" ref="K16:K18" si="18">ROUND((0.22*G16*1.09*$H$21*1000*10.42),0)</f>
        <v>242249</v>
      </c>
      <c r="L16" s="74">
        <f t="shared" si="11"/>
        <v>803616</v>
      </c>
      <c r="M16" s="69">
        <f t="shared" si="12"/>
        <v>33752</v>
      </c>
      <c r="N16" s="69">
        <f t="shared" si="13"/>
        <v>20894</v>
      </c>
      <c r="O16" s="93"/>
    </row>
    <row r="17" spans="1:15" ht="60" customHeight="1" x14ac:dyDescent="0.2">
      <c r="A17" s="78">
        <v>7</v>
      </c>
      <c r="B17" s="76" t="s">
        <v>93</v>
      </c>
      <c r="C17" s="57" t="s">
        <v>88</v>
      </c>
      <c r="D17" s="123">
        <v>154</v>
      </c>
      <c r="E17" s="58">
        <v>1</v>
      </c>
      <c r="F17" s="58">
        <f t="shared" si="14"/>
        <v>1.286</v>
      </c>
      <c r="G17" s="59">
        <f t="shared" si="10"/>
        <v>198.04</v>
      </c>
      <c r="H17" s="60">
        <f t="shared" si="15"/>
        <v>366794</v>
      </c>
      <c r="I17" s="60">
        <f t="shared" si="16"/>
        <v>0</v>
      </c>
      <c r="J17" s="60">
        <f t="shared" si="17"/>
        <v>55532</v>
      </c>
      <c r="K17" s="60">
        <f t="shared" si="18"/>
        <v>182248</v>
      </c>
      <c r="L17" s="74">
        <f t="shared" si="11"/>
        <v>604574</v>
      </c>
      <c r="M17" s="69">
        <f t="shared" si="12"/>
        <v>25392</v>
      </c>
      <c r="N17" s="69">
        <f t="shared" si="13"/>
        <v>15719</v>
      </c>
      <c r="O17" s="93"/>
    </row>
    <row r="18" spans="1:15" ht="60" customHeight="1" x14ac:dyDescent="0.2">
      <c r="A18" s="78">
        <v>8</v>
      </c>
      <c r="B18" s="76" t="s">
        <v>94</v>
      </c>
      <c r="C18" s="57" t="s">
        <v>88</v>
      </c>
      <c r="D18" s="123">
        <v>204.7</v>
      </c>
      <c r="E18" s="58">
        <v>1</v>
      </c>
      <c r="F18" s="58">
        <f t="shared" si="14"/>
        <v>1.286</v>
      </c>
      <c r="G18" s="59">
        <f t="shared" si="10"/>
        <v>263.24</v>
      </c>
      <c r="H18" s="60">
        <f t="shared" si="15"/>
        <v>487553</v>
      </c>
      <c r="I18" s="60">
        <f t="shared" si="16"/>
        <v>0</v>
      </c>
      <c r="J18" s="60">
        <f t="shared" si="17"/>
        <v>73814</v>
      </c>
      <c r="K18" s="60">
        <f t="shared" si="18"/>
        <v>242249</v>
      </c>
      <c r="L18" s="74">
        <f t="shared" si="11"/>
        <v>803616</v>
      </c>
      <c r="M18" s="69">
        <f t="shared" si="12"/>
        <v>33752</v>
      </c>
      <c r="N18" s="69">
        <f t="shared" si="13"/>
        <v>20894</v>
      </c>
      <c r="O18" s="93"/>
    </row>
    <row r="19" spans="1:15" ht="30.75" customHeight="1" x14ac:dyDescent="0.2">
      <c r="A19" s="116" t="s">
        <v>39</v>
      </c>
      <c r="B19" s="116"/>
      <c r="C19" s="116"/>
      <c r="D19" s="116"/>
      <c r="E19" s="116"/>
      <c r="F19" s="116"/>
      <c r="G19" s="116"/>
      <c r="H19" s="68">
        <f>SUM(H11:H18)</f>
        <v>3562725</v>
      </c>
      <c r="I19" s="68">
        <f t="shared" ref="I19:K19" si="19">SUM(I11:I18)</f>
        <v>76923</v>
      </c>
      <c r="J19" s="68">
        <f t="shared" si="19"/>
        <v>413257</v>
      </c>
      <c r="K19" s="68">
        <f t="shared" si="19"/>
        <v>1964635</v>
      </c>
      <c r="L19" s="75">
        <f>SUM(H19:K19)</f>
        <v>6017540</v>
      </c>
      <c r="M19" s="68">
        <f>SUM(M11:M18)</f>
        <v>252737</v>
      </c>
      <c r="N19" s="68">
        <f>SUM(N11:N18)</f>
        <v>156456</v>
      </c>
    </row>
    <row r="20" spans="1:15" s="46" customFormat="1" x14ac:dyDescent="0.2">
      <c r="A20" s="29"/>
      <c r="B20" s="29"/>
      <c r="C20" s="29"/>
      <c r="D20" s="29"/>
      <c r="E20" s="55"/>
      <c r="F20" s="29"/>
      <c r="G20" s="29"/>
      <c r="H20" s="28"/>
      <c r="I20" s="28"/>
      <c r="J20" s="20"/>
      <c r="K20" s="28"/>
      <c r="L20" s="28"/>
      <c r="M20" s="20"/>
      <c r="N20" s="20"/>
    </row>
    <row r="21" spans="1:15" hidden="1" x14ac:dyDescent="0.2">
      <c r="A21" s="115" t="s">
        <v>60</v>
      </c>
      <c r="B21" s="115"/>
      <c r="C21" s="115"/>
      <c r="D21" s="115"/>
      <c r="E21" s="115"/>
      <c r="F21" s="115"/>
      <c r="G21" s="115"/>
      <c r="H21" s="44">
        <v>0.36829319999999999</v>
      </c>
      <c r="I21" s="44"/>
      <c r="J21" s="92"/>
      <c r="K21" s="44"/>
      <c r="L21" s="45"/>
      <c r="M21" s="46"/>
      <c r="N21" s="46"/>
    </row>
    <row r="22" spans="1:15" x14ac:dyDescent="0.2">
      <c r="A22" s="29"/>
      <c r="B22" s="29"/>
      <c r="C22" s="29"/>
      <c r="D22" s="29"/>
      <c r="E22" s="55"/>
      <c r="F22" s="29"/>
      <c r="G22" s="29"/>
      <c r="H22" s="28"/>
      <c r="I22" s="48"/>
      <c r="J22" s="28"/>
      <c r="K22" s="28"/>
      <c r="L22" s="28"/>
      <c r="M22" s="28"/>
    </row>
    <row r="23" spans="1:15" x14ac:dyDescent="0.2">
      <c r="A23" s="23"/>
      <c r="B23" s="23" t="s">
        <v>38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5" x14ac:dyDescent="0.2">
      <c r="A24" s="23"/>
      <c r="B24" s="110" t="s">
        <v>37</v>
      </c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36"/>
    </row>
    <row r="25" spans="1:15" x14ac:dyDescent="0.2">
      <c r="A25" s="21"/>
      <c r="B25" s="21"/>
      <c r="C25" s="21"/>
      <c r="D25" s="21"/>
      <c r="E25" s="21"/>
      <c r="F25" s="21" t="s">
        <v>36</v>
      </c>
      <c r="G25" s="21"/>
      <c r="H25" s="21"/>
      <c r="I25" s="21"/>
      <c r="J25" s="21"/>
      <c r="K25" s="21"/>
      <c r="L25" s="21"/>
      <c r="M25" s="21"/>
    </row>
    <row r="26" spans="1:15" x14ac:dyDescent="0.2">
      <c r="A26" s="23"/>
      <c r="B26" s="23" t="s">
        <v>35</v>
      </c>
      <c r="C26" s="23"/>
      <c r="D26" s="23"/>
      <c r="E26" s="23"/>
      <c r="F26" s="23"/>
      <c r="G26" s="23"/>
      <c r="H26" s="23"/>
      <c r="I26" s="47"/>
      <c r="J26" s="23"/>
      <c r="K26" s="23"/>
      <c r="L26" s="23"/>
      <c r="M26" s="23"/>
    </row>
    <row r="27" spans="1:15" x14ac:dyDescent="0.2">
      <c r="A27" s="22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15" x14ac:dyDescent="0.2">
      <c r="A28" s="27" t="s">
        <v>34</v>
      </c>
      <c r="B28" s="26" t="s">
        <v>33</v>
      </c>
      <c r="C28" s="23"/>
      <c r="D28" s="23" t="s">
        <v>71</v>
      </c>
      <c r="E28" s="23"/>
      <c r="F28" s="23"/>
      <c r="G28" s="23"/>
      <c r="H28" s="23" t="s">
        <v>95</v>
      </c>
      <c r="I28" s="23"/>
      <c r="J28" s="23"/>
      <c r="K28" s="23"/>
      <c r="L28" s="23"/>
      <c r="M28" s="23"/>
    </row>
    <row r="29" spans="1:15" x14ac:dyDescent="0.2">
      <c r="A29" s="25" t="s">
        <v>32</v>
      </c>
      <c r="B29" s="23" t="s">
        <v>31</v>
      </c>
      <c r="C29" s="23"/>
      <c r="D29" s="23"/>
      <c r="E29" s="23"/>
      <c r="F29" s="23"/>
      <c r="G29" s="23"/>
      <c r="H29" s="52"/>
      <c r="I29" s="61"/>
      <c r="J29" s="62"/>
      <c r="K29" s="62"/>
      <c r="L29" s="62"/>
      <c r="M29" s="62"/>
    </row>
    <row r="30" spans="1:15" x14ac:dyDescent="0.2">
      <c r="A30" s="24" t="s">
        <v>25</v>
      </c>
      <c r="B30" s="23" t="s">
        <v>30</v>
      </c>
      <c r="C30" s="23"/>
      <c r="D30" s="23"/>
      <c r="E30" s="23"/>
      <c r="F30" s="23"/>
      <c r="G30" s="23"/>
      <c r="H30" s="53"/>
      <c r="I30" s="62"/>
      <c r="J30" s="62"/>
      <c r="K30" s="62"/>
      <c r="L30" s="62"/>
      <c r="M30" s="62"/>
    </row>
    <row r="31" spans="1:15" x14ac:dyDescent="0.2">
      <c r="A31" s="24" t="s">
        <v>25</v>
      </c>
      <c r="B31" s="23" t="s">
        <v>29</v>
      </c>
      <c r="C31" s="23"/>
      <c r="D31" s="23"/>
      <c r="E31" s="23"/>
      <c r="F31" s="23"/>
      <c r="G31" s="23"/>
      <c r="H31" s="54"/>
      <c r="I31" s="62"/>
      <c r="J31" s="62"/>
      <c r="K31" s="62"/>
      <c r="L31" s="62"/>
      <c r="M31" s="62"/>
    </row>
    <row r="32" spans="1:15" x14ac:dyDescent="0.2">
      <c r="A32" s="24" t="s">
        <v>25</v>
      </c>
      <c r="B32" s="23" t="s">
        <v>28</v>
      </c>
      <c r="C32" s="23"/>
      <c r="D32" s="23"/>
      <c r="E32" s="23"/>
      <c r="F32" s="23"/>
      <c r="G32" s="23"/>
      <c r="H32" s="54"/>
      <c r="I32" s="62"/>
      <c r="J32" s="62"/>
      <c r="K32" s="62"/>
      <c r="L32" s="62"/>
      <c r="M32" s="62"/>
    </row>
    <row r="33" spans="1:13" hidden="1" x14ac:dyDescent="0.2">
      <c r="A33" s="24" t="s">
        <v>25</v>
      </c>
      <c r="B33" s="23" t="s">
        <v>27</v>
      </c>
      <c r="C33" s="23"/>
      <c r="D33" s="23"/>
      <c r="E33" s="23"/>
      <c r="F33" s="23"/>
      <c r="G33" s="23"/>
      <c r="H33" s="54"/>
      <c r="I33" s="89"/>
      <c r="J33" s="62"/>
      <c r="K33" s="62"/>
      <c r="L33" s="62"/>
      <c r="M33" s="62"/>
    </row>
    <row r="34" spans="1:13" x14ac:dyDescent="0.2">
      <c r="A34" s="24" t="s">
        <v>25</v>
      </c>
      <c r="B34" s="23" t="s">
        <v>26</v>
      </c>
      <c r="C34" s="23"/>
      <c r="D34" s="23"/>
      <c r="E34" s="23"/>
      <c r="F34" s="23"/>
      <c r="G34" s="23"/>
      <c r="H34" s="54"/>
      <c r="I34" s="89"/>
      <c r="J34" s="62"/>
      <c r="K34" s="62"/>
      <c r="L34" s="62"/>
      <c r="M34" s="62"/>
    </row>
    <row r="35" spans="1:13" x14ac:dyDescent="0.2">
      <c r="A35" s="24" t="s">
        <v>25</v>
      </c>
      <c r="B35" s="23" t="s">
        <v>70</v>
      </c>
      <c r="C35" s="23"/>
      <c r="D35" s="23"/>
      <c r="E35" s="23"/>
      <c r="F35" s="23"/>
      <c r="G35" s="23"/>
      <c r="H35" s="54"/>
      <c r="I35" s="89"/>
      <c r="J35" s="89"/>
      <c r="K35" s="62"/>
      <c r="L35" s="62"/>
      <c r="M35" s="62"/>
    </row>
    <row r="36" spans="1:13" x14ac:dyDescent="0.2">
      <c r="A36" s="24" t="s">
        <v>66</v>
      </c>
      <c r="B36" s="23" t="s">
        <v>67</v>
      </c>
      <c r="C36" s="23"/>
      <c r="D36" s="23"/>
      <c r="E36" s="23"/>
      <c r="F36" s="23"/>
      <c r="G36" s="23"/>
      <c r="H36" s="54"/>
      <c r="I36" s="62"/>
      <c r="J36" s="62"/>
      <c r="K36" s="62"/>
      <c r="L36" s="62"/>
      <c r="M36" s="62"/>
    </row>
    <row r="37" spans="1:13" ht="23.25" customHeight="1" x14ac:dyDescent="0.2">
      <c r="A37" s="22" t="s">
        <v>25</v>
      </c>
      <c r="B37" s="21" t="s">
        <v>96</v>
      </c>
      <c r="C37" s="21"/>
      <c r="D37" s="21"/>
      <c r="E37" s="21"/>
      <c r="F37" s="21"/>
      <c r="G37" s="21"/>
      <c r="H37" s="54"/>
      <c r="I37" s="62"/>
      <c r="J37" s="62"/>
      <c r="K37" s="62"/>
      <c r="L37" s="62"/>
      <c r="M37" s="62"/>
    </row>
    <row r="38" spans="1:13" hidden="1" x14ac:dyDescent="0.2">
      <c r="A38" s="22" t="s">
        <v>68</v>
      </c>
      <c r="B38" s="21" t="s">
        <v>69</v>
      </c>
      <c r="C38" s="21"/>
      <c r="D38" s="21"/>
      <c r="E38" s="21"/>
      <c r="F38" s="21"/>
      <c r="G38" s="21"/>
      <c r="H38" s="54"/>
      <c r="I38" s="62"/>
      <c r="J38" s="62"/>
      <c r="K38" s="62"/>
      <c r="L38" s="62"/>
      <c r="M38" s="62"/>
    </row>
    <row r="39" spans="1:13" hidden="1" x14ac:dyDescent="0.2">
      <c r="A39" s="72" t="s">
        <v>25</v>
      </c>
      <c r="B39" s="73" t="s">
        <v>62</v>
      </c>
      <c r="I39" s="62"/>
      <c r="J39" s="62"/>
      <c r="K39" s="62"/>
      <c r="L39" s="62"/>
      <c r="M39" s="62"/>
    </row>
    <row r="40" spans="1:13" hidden="1" x14ac:dyDescent="0.2">
      <c r="A40" s="72" t="s">
        <v>25</v>
      </c>
      <c r="B40" s="73" t="s">
        <v>63</v>
      </c>
      <c r="C40" s="62"/>
      <c r="D40" s="62"/>
      <c r="E40" s="62"/>
      <c r="F40" s="62"/>
      <c r="I40" s="63"/>
      <c r="J40" s="64"/>
      <c r="K40" s="64"/>
      <c r="L40" s="64"/>
      <c r="M40" s="64"/>
    </row>
    <row r="41" spans="1:13" hidden="1" x14ac:dyDescent="0.2">
      <c r="A41" s="72" t="s">
        <v>25</v>
      </c>
      <c r="B41" s="73" t="s">
        <v>64</v>
      </c>
      <c r="C41" s="62"/>
      <c r="D41" s="62"/>
      <c r="E41" s="62"/>
      <c r="F41" s="62"/>
      <c r="I41" s="63"/>
      <c r="J41" s="64"/>
      <c r="K41" s="64"/>
      <c r="L41" s="64"/>
      <c r="M41" s="64"/>
    </row>
    <row r="42" spans="1:13" hidden="1" x14ac:dyDescent="0.2">
      <c r="A42" s="72" t="s">
        <v>25</v>
      </c>
      <c r="B42" s="73" t="s">
        <v>65</v>
      </c>
      <c r="C42" s="62"/>
      <c r="D42" s="62"/>
      <c r="E42" s="62"/>
      <c r="F42" s="62"/>
    </row>
    <row r="43" spans="1:13" ht="23.25" customHeight="1" x14ac:dyDescent="0.2">
      <c r="A43" s="22" t="s">
        <v>25</v>
      </c>
      <c r="B43" s="21" t="s">
        <v>97</v>
      </c>
      <c r="C43" s="21"/>
      <c r="D43" s="21"/>
      <c r="E43" s="21"/>
      <c r="F43" s="21"/>
      <c r="G43" s="21"/>
      <c r="H43" s="54"/>
      <c r="I43" s="62"/>
      <c r="J43" s="62"/>
      <c r="K43" s="62"/>
      <c r="L43" s="62"/>
      <c r="M43" s="62"/>
    </row>
    <row r="44" spans="1:13" x14ac:dyDescent="0.2">
      <c r="B44" s="62"/>
      <c r="C44" s="62"/>
      <c r="D44" s="62"/>
      <c r="E44" s="62"/>
      <c r="F44" s="62"/>
    </row>
    <row r="45" spans="1:13" x14ac:dyDescent="0.2">
      <c r="B45" s="62"/>
      <c r="C45" s="62"/>
      <c r="D45" s="62"/>
      <c r="E45" s="62"/>
      <c r="F45" s="62"/>
    </row>
    <row r="46" spans="1:13" x14ac:dyDescent="0.2">
      <c r="B46" s="62"/>
      <c r="C46" s="62"/>
      <c r="D46" s="62"/>
      <c r="E46" s="62"/>
      <c r="F46" s="62"/>
    </row>
    <row r="47" spans="1:13" x14ac:dyDescent="0.2">
      <c r="B47" s="62"/>
      <c r="C47" s="62"/>
      <c r="D47" s="62"/>
      <c r="E47" s="62"/>
      <c r="F47" s="62"/>
    </row>
    <row r="48" spans="1:13" x14ac:dyDescent="0.2">
      <c r="B48" s="62"/>
      <c r="C48" s="62"/>
      <c r="D48" s="62"/>
      <c r="E48" s="62"/>
      <c r="F48" s="62"/>
    </row>
    <row r="49" spans="2:6" x14ac:dyDescent="0.2">
      <c r="B49" s="62"/>
      <c r="C49" s="62"/>
      <c r="D49" s="62"/>
      <c r="E49" s="62"/>
      <c r="F49" s="62"/>
    </row>
    <row r="50" spans="2:6" x14ac:dyDescent="0.2">
      <c r="B50" s="63"/>
      <c r="C50" s="64"/>
      <c r="D50" s="64"/>
      <c r="E50" s="64"/>
      <c r="F50" s="64"/>
    </row>
    <row r="51" spans="2:6" x14ac:dyDescent="0.2">
      <c r="B51" s="63"/>
      <c r="C51" s="64"/>
      <c r="D51" s="64"/>
      <c r="E51" s="64"/>
      <c r="F51" s="64"/>
    </row>
    <row r="52" spans="2:6" x14ac:dyDescent="0.2">
      <c r="B52" s="65"/>
      <c r="C52" s="65"/>
      <c r="D52" s="65"/>
      <c r="E52" s="65"/>
      <c r="F52" s="65"/>
    </row>
  </sheetData>
  <mergeCells count="18">
    <mergeCell ref="A1:L1"/>
    <mergeCell ref="G9:G10"/>
    <mergeCell ref="H9:K9"/>
    <mergeCell ref="L9:L10"/>
    <mergeCell ref="B9:B10"/>
    <mergeCell ref="A9:A10"/>
    <mergeCell ref="C9:C10"/>
    <mergeCell ref="B7:G7"/>
    <mergeCell ref="B5:L5"/>
    <mergeCell ref="A3:M3"/>
    <mergeCell ref="A4:M4"/>
    <mergeCell ref="B24:L24"/>
    <mergeCell ref="M9:N9"/>
    <mergeCell ref="D9:D10"/>
    <mergeCell ref="E9:E10"/>
    <mergeCell ref="F9:F10"/>
    <mergeCell ref="A21:G21"/>
    <mergeCell ref="A19:G19"/>
  </mergeCells>
  <pageMargins left="0.23622047244094491" right="0.23622047244094491" top="0.74803149606299213" bottom="0.74803149606299213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1</vt:lpstr>
      <vt:lpstr>Т!Заголовки_для_печати</vt:lpstr>
      <vt:lpstr>'расчет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Стеценко Лариса Викторовна</cp:lastModifiedBy>
  <cp:lastPrinted>2020-02-10T08:36:30Z</cp:lastPrinted>
  <dcterms:created xsi:type="dcterms:W3CDTF">2002-03-25T05:35:56Z</dcterms:created>
  <dcterms:modified xsi:type="dcterms:W3CDTF">2020-12-09T00:45:11Z</dcterms:modified>
</cp:coreProperties>
</file>