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enko-es\Рабочий стол\_4 ЭТАП\Альбом ТФ_4 этап\С принятыми правками\"/>
    </mc:Choice>
  </mc:AlternateContent>
  <xr:revisionPtr revIDLastSave="0" documentId="13_ncr:1_{DCB0DAFA-B016-4D0F-938D-60F63C161019}" xr6:coauthVersionLast="44" xr6:coauthVersionMax="45" xr10:uidLastSave="{00000000-0000-0000-0000-000000000000}"/>
  <bookViews>
    <workbookView xWindow="-108" yWindow="-108" windowWidth="30936" windowHeight="16896" tabRatio="816" xr2:uid="{00000000-000D-0000-FFFF-FFFF00000000}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данных'!$F$33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данных'!$F$7</definedName>
    <definedName name="Стр1100">'Ввод данных'!$D$12</definedName>
    <definedName name="Стр1100пр">'Ввод данных'!$E$12</definedName>
    <definedName name="Стр1150">'Ввод данных'!$D$11</definedName>
    <definedName name="Стр1150пр">'Ввод данных'!$E$11</definedName>
    <definedName name="Стр1230">'Ввод данных'!$D$14</definedName>
    <definedName name="Стр1230пр">'Ввод данных'!$E$14</definedName>
    <definedName name="Стр1240">'Ввод данных'!$D$15</definedName>
    <definedName name="Стр1240пр">'Ввод данных'!$E$15</definedName>
    <definedName name="Стр1250">'Ввод данных'!$D$16</definedName>
    <definedName name="Стр1250пр">'Ввод данных'!$E$16</definedName>
    <definedName name="Стр1300">'Ввод данных'!$D$19</definedName>
    <definedName name="Стр1300пр">'Ввод данных'!$E$19</definedName>
    <definedName name="Стр1400">'Ввод данных'!$D$22</definedName>
    <definedName name="Стр1400пр">'Ввод данных'!$E$22</definedName>
    <definedName name="Стр1410">'Ввод данных'!$D$21</definedName>
    <definedName name="Стр1410пр">'Ввод данных'!$E$21</definedName>
    <definedName name="Стр1500">'Ввод данных'!$D$26</definedName>
    <definedName name="Стр1500пр">'Ввод данных'!$E$26</definedName>
    <definedName name="Стр1510">'Ввод данных'!$D$24</definedName>
    <definedName name="Стр1510пр">'Ввод данных'!$E$24</definedName>
    <definedName name="Стр1520">'Ввод данных'!$D$25</definedName>
    <definedName name="Стр1520пр">'Ввод данных'!$E$25</definedName>
    <definedName name="Стр1600">'Ввод данных'!$D$17</definedName>
    <definedName name="Стр1600пр">'Ввод данных'!$E$17</definedName>
    <definedName name="Стр1700">'Ввод данных'!$D$27</definedName>
    <definedName name="Стр1700пр">'Ввод данных'!$E$27</definedName>
    <definedName name="Стр2110">'Ввод данных'!$D$29</definedName>
    <definedName name="Стр2110пр">'Ввод данных'!$E$29</definedName>
    <definedName name="Стр2300">'Ввод данных'!$D$31</definedName>
    <definedName name="Стр2300пр">'Ввод данных'!$E$31</definedName>
    <definedName name="Стр2330">'Ввод данных'!$D$30</definedName>
    <definedName name="Стр2330пр">'Ввод данных'!$E$30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данных'!$C$6</definedName>
    <definedName name="Тип3Вес2">'Ввод данных'!$D$6</definedName>
    <definedName name="Тип3Вес3">'Ввод данных'!$E$6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2" l="1"/>
  <c r="J16" i="2"/>
  <c r="M9" i="2"/>
  <c r="J9" i="2"/>
  <c r="M11" i="2" l="1"/>
  <c r="J11" i="2"/>
  <c r="M18" i="2" l="1"/>
  <c r="M10" i="2"/>
  <c r="M17" i="2"/>
  <c r="M15" i="2"/>
  <c r="M14" i="2"/>
  <c r="M13" i="2"/>
  <c r="M12" i="2"/>
  <c r="J17" i="2"/>
  <c r="J18" i="2"/>
  <c r="J15" i="2"/>
  <c r="J14" i="2"/>
  <c r="J13" i="2"/>
  <c r="J12" i="2"/>
  <c r="J10" i="2"/>
  <c r="N18" i="2" l="1"/>
  <c r="N17" i="2"/>
  <c r="N16" i="2"/>
  <c r="N15" i="2"/>
  <c r="N14" i="2"/>
  <c r="N13" i="2"/>
  <c r="N12" i="2"/>
  <c r="N11" i="2"/>
  <c r="N10" i="2"/>
  <c r="N9" i="2"/>
  <c r="K18" i="2"/>
  <c r="K17" i="2"/>
  <c r="K16" i="2"/>
  <c r="K15" i="2"/>
  <c r="K14" i="2"/>
  <c r="P14" i="2" s="1"/>
  <c r="K13" i="2"/>
  <c r="K12" i="2"/>
  <c r="K11" i="2"/>
  <c r="K10" i="2"/>
  <c r="K9" i="2"/>
  <c r="P10" i="2" l="1"/>
  <c r="R10" i="2" s="1"/>
  <c r="P18" i="2"/>
  <c r="R18" i="2" s="1"/>
  <c r="P17" i="2"/>
  <c r="R17" i="2" s="1"/>
  <c r="P13" i="2"/>
  <c r="R13" i="2" s="1"/>
  <c r="P9" i="2"/>
  <c r="R9" i="2" s="1"/>
  <c r="P16" i="2"/>
  <c r="R16" i="2" s="1"/>
  <c r="P11" i="2"/>
  <c r="R11" i="2" s="1"/>
  <c r="P12" i="2"/>
  <c r="R12" i="2" s="1"/>
  <c r="P15" i="2"/>
  <c r="R15" i="2" s="1"/>
  <c r="R14" i="2"/>
  <c r="C7" i="1"/>
  <c r="E8" i="1"/>
  <c r="F7" i="1"/>
  <c r="C2" i="2" l="1"/>
  <c r="C3" i="2" s="1"/>
  <c r="B5" i="2"/>
  <c r="D3" i="2" l="1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B19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2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H10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 xr:uid="{00000000-0006-0000-0100-000002000000}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 xr:uid="{00000000-0006-0000-0100-000003000000}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<sst xmlns="http://schemas.openxmlformats.org/spreadsheetml/2006/main" count="241" uniqueCount="121">
  <si>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</si>
  <si>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</si>
  <si>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</si>
  <si>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</si>
  <si>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</si>
  <si>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Финансовые вложения (за исключением денежных эквивалентов)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</si>
  <si>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</si>
  <si>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</si>
  <si>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</si>
  <si>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</si>
  <si>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</si>
  <si>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</si>
  <si>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</si>
  <si>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</si>
  <si>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</si>
  <si>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</si>
  <si>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</si>
  <si>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</si>
  <si>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</si>
  <si>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</si>
  <si>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</si>
  <si>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</si>
  <si>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</si>
  <si>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</si>
  <si>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</si>
  <si>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</si>
  <si>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</si>
  <si>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</si>
  <si>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</si>
  <si>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</si>
  <si>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</si>
  <si>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</si>
  <si>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</si>
  <si>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</si>
  <si>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</si>
  <si>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</si>
  <si>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</si>
  <si>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</si>
  <si>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</si>
  <si>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</si>
  <si>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</si>
  <si>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</si>
  <si>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</si>
  <si>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</si>
  <si>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</si>
  <si>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</si>
  <si>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</si>
  <si>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</si>
  <si>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</si>
  <si>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</si>
  <si>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</si>
  <si>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</si>
  <si>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</si>
  <si>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</si>
  <si>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</si>
  <si>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</si>
  <si>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</si>
  <si>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</si>
  <si>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</si>
  <si>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</si>
  <si>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</si>
  <si>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</si>
  <si>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</si>
  <si>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</si>
  <si>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</si>
  <si>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</si>
  <si>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</si>
  <si>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</si>
  <si>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</si>
  <si>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</si>
  <si>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</si>
  <si>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</si>
  <si>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</si>
  <si>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</si>
  <si>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</si>
  <si>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</si>
  <si>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</si>
  <si>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</si>
  <si>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</si>
  <si>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</si>
  <si>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</si>
  <si>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</si>
  <si>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</si>
  <si>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</si>
  <si>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</si>
  <si>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</si>
  <si>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</si>
  <si>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</si>
  <si>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</si>
  <si>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</si>
  <si>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</si>
  <si>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</si>
  <si>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</si>
  <si>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</si>
  <si>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</si>
  <si>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</si>
  <si>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</si>
  <si>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</si>
  <si>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</si>
  <si>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</si>
  <si>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</si>
  <si>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</si>
  <si>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</si>
  <si>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</si>
  <si>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</si>
  <si>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</si>
  <si>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</si>
  <si>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</si>
  <si>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</si>
  <si>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</si>
  <si>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</si>
  <si>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</si>
  <si>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</si>
  <si>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</si>
  <si>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</si>
  <si>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</si>
  <si>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</si>
  <si>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</si>
  <si>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</si>
  <si>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t xml:space="preserve">Предложенная в заявке цена договора 
</t>
    </r>
    <r>
      <rPr>
        <b/>
        <sz val="11"/>
        <color rgb="FFFF0000"/>
        <rFont val="Calibri"/>
        <family val="2"/>
        <charset val="204"/>
        <scheme val="minor"/>
      </rPr>
      <t>(для закупок только среди субъектов МСП – НМЦ лота)</t>
    </r>
    <r>
      <rPr>
        <b/>
        <sz val="11"/>
        <color theme="1"/>
        <rFont val="Calibri"/>
        <family val="2"/>
        <charset val="204"/>
        <scheme val="minor"/>
      </rPr>
      <t xml:space="preserve"> в рублях без НДС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</si>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</sst>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#,##0.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2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2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8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4" fillId="0" borderId="0" xfId="0" applyFont="1"/>
    <xf numFmtId="166" fontId="24" fillId="0" borderId="8" xfId="0" applyNumberFormat="1" applyFont="1" applyBorder="1" applyAlignment="1">
      <alignment horizontal="center" vertical="center"/>
    </xf>
    <xf numFmtId="166" fontId="25" fillId="0" borderId="9" xfId="0" applyNumberFormat="1" applyFont="1" applyBorder="1" applyAlignment="1">
      <alignment horizontal="center" vertical="center"/>
    </xf>
    <xf numFmtId="4" fontId="25" fillId="0" borderId="42" xfId="0" applyNumberFormat="1" applyFont="1" applyBorder="1" applyAlignment="1">
      <alignment horizontal="center" vertical="center"/>
    </xf>
    <xf numFmtId="165" fontId="22" fillId="0" borderId="46" xfId="0" applyNumberFormat="1" applyFont="1" applyBorder="1" applyAlignment="1">
      <alignment horizontal="center" vertical="center"/>
    </xf>
    <xf numFmtId="166" fontId="24" fillId="0" borderId="10" xfId="0" applyNumberFormat="1" applyFont="1" applyBorder="1" applyAlignment="1">
      <alignment horizontal="center" vertical="center"/>
    </xf>
    <xf numFmtId="166" fontId="25" fillId="0" borderId="12" xfId="0" applyNumberFormat="1" applyFont="1" applyBorder="1" applyAlignment="1">
      <alignment horizontal="center" vertical="center"/>
    </xf>
    <xf numFmtId="4" fontId="25" fillId="0" borderId="43" xfId="0" applyNumberFormat="1" applyFont="1" applyBorder="1" applyAlignment="1">
      <alignment horizontal="center" vertical="center"/>
    </xf>
    <xf numFmtId="165" fontId="22" fillId="0" borderId="47" xfId="0" applyNumberFormat="1" applyFont="1" applyBorder="1" applyAlignment="1">
      <alignment horizontal="center" vertical="center"/>
    </xf>
    <xf numFmtId="3" fontId="25" fillId="0" borderId="42" xfId="0" applyNumberFormat="1" applyFont="1" applyBorder="1" applyAlignment="1">
      <alignment horizontal="center" vertical="center"/>
    </xf>
    <xf numFmtId="0" fontId="27" fillId="0" borderId="0" xfId="0" applyFont="1"/>
    <xf numFmtId="0" fontId="0" fillId="0" borderId="0" xfId="0" applyAlignment="1">
      <alignment horizontal="left" vertical="center"/>
    </xf>
    <xf numFmtId="0" fontId="26" fillId="0" borderId="0" xfId="0" applyFont="1" applyAlignment="1">
      <alignment horizontal="left" vertical="center"/>
    </xf>
    <xf numFmtId="166" fontId="24" fillId="0" borderId="13" xfId="0" applyNumberFormat="1" applyFont="1" applyBorder="1" applyAlignment="1">
      <alignment horizontal="center" vertical="center"/>
    </xf>
    <xf numFmtId="166" fontId="25" fillId="0" borderId="15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2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4" fillId="4" borderId="13" xfId="0" applyNumberFormat="1" applyFont="1" applyFill="1" applyBorder="1" applyAlignment="1">
      <alignment horizontal="center" vertical="center"/>
    </xf>
    <xf numFmtId="165" fontId="24" fillId="4" borderId="9" xfId="0" applyNumberFormat="1" applyFont="1" applyFill="1" applyBorder="1" applyAlignment="1">
      <alignment horizontal="center" vertical="center"/>
    </xf>
    <xf numFmtId="165" fontId="24" fillId="4" borderId="8" xfId="0" applyNumberFormat="1" applyFont="1" applyFill="1" applyBorder="1" applyAlignment="1">
      <alignment horizontal="center" vertical="center"/>
    </xf>
    <xf numFmtId="3" fontId="24" fillId="4" borderId="9" xfId="0" applyNumberFormat="1" applyFont="1" applyFill="1" applyBorder="1" applyAlignment="1">
      <alignment horizontal="center" vertical="center"/>
    </xf>
    <xf numFmtId="3" fontId="24" fillId="4" borderId="8" xfId="0" applyNumberFormat="1" applyFont="1" applyFill="1" applyBorder="1" applyAlignment="1">
      <alignment horizontal="center" vertical="center"/>
    </xf>
    <xf numFmtId="4" fontId="24" fillId="4" borderId="9" xfId="0" applyNumberFormat="1" applyFont="1" applyFill="1" applyBorder="1" applyAlignment="1">
      <alignment horizontal="center" vertical="center"/>
    </xf>
    <xf numFmtId="4" fontId="24" fillId="4" borderId="8" xfId="0" applyNumberFormat="1" applyFont="1" applyFill="1" applyBorder="1" applyAlignment="1">
      <alignment horizontal="center" vertical="center"/>
    </xf>
    <xf numFmtId="4" fontId="24" fillId="4" borderId="10" xfId="0" applyNumberFormat="1" applyFont="1" applyFill="1" applyBorder="1" applyAlignment="1">
      <alignment horizontal="center" vertical="center"/>
    </xf>
    <xf numFmtId="49" fontId="28" fillId="4" borderId="33" xfId="0" applyNumberFormat="1" applyFont="1" applyFill="1" applyBorder="1" applyAlignment="1">
      <alignment horizontal="center" vertical="center"/>
    </xf>
    <xf numFmtId="49" fontId="28" fillId="4" borderId="34" xfId="0" applyNumberFormat="1" applyFont="1" applyFill="1" applyBorder="1" applyAlignment="1">
      <alignment horizontal="center" vertical="center"/>
    </xf>
    <xf numFmtId="49" fontId="28" fillId="4" borderId="32" xfId="0" applyNumberFormat="1" applyFont="1" applyFill="1" applyBorder="1" applyAlignment="1">
      <alignment horizontal="center" vertical="center"/>
    </xf>
    <xf numFmtId="49" fontId="28" fillId="4" borderId="14" xfId="0" applyNumberFormat="1" applyFont="1" applyFill="1" applyBorder="1" applyAlignment="1">
      <alignment horizontal="center" vertical="center"/>
    </xf>
    <xf numFmtId="49" fontId="28" fillId="4" borderId="4" xfId="0" applyNumberFormat="1" applyFont="1" applyFill="1" applyBorder="1" applyAlignment="1">
      <alignment horizontal="center" vertical="center"/>
    </xf>
    <xf numFmtId="49" fontId="28" fillId="4" borderId="11" xfId="0" applyNumberFormat="1" applyFont="1" applyFill="1" applyBorder="1" applyAlignment="1">
      <alignment horizontal="center" vertical="center"/>
    </xf>
    <xf numFmtId="49" fontId="28" fillId="5" borderId="14" xfId="0" applyNumberFormat="1" applyFont="1" applyFill="1" applyBorder="1" applyAlignment="1">
      <alignment horizontal="center" vertical="center"/>
    </xf>
    <xf numFmtId="49" fontId="28" fillId="5" borderId="4" xfId="0" applyNumberFormat="1" applyFont="1" applyFill="1" applyBorder="1" applyAlignment="1">
      <alignment horizontal="center" vertical="center"/>
    </xf>
    <xf numFmtId="49" fontId="28" fillId="5" borderId="11" xfId="0" applyNumberFormat="1" applyFont="1" applyFill="1" applyBorder="1" applyAlignment="1">
      <alignment horizontal="center" vertical="center"/>
    </xf>
    <xf numFmtId="49" fontId="28" fillId="6" borderId="13" xfId="0" applyNumberFormat="1" applyFont="1" applyFill="1" applyBorder="1" applyAlignment="1">
      <alignment horizontal="center" vertical="center"/>
    </xf>
    <xf numFmtId="49" fontId="28" fillId="6" borderId="8" xfId="0" applyNumberFormat="1" applyFont="1" applyFill="1" applyBorder="1" applyAlignment="1">
      <alignment horizontal="center" vertical="center"/>
    </xf>
    <xf numFmtId="49" fontId="28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3" fillId="0" borderId="13" xfId="0" applyNumberFormat="1" applyFont="1" applyBorder="1" applyAlignment="1" applyProtection="1">
      <alignment horizontal="left" vertical="center" wrapText="1" indent="1"/>
    </xf>
    <xf numFmtId="49" fontId="23" fillId="0" borderId="14" xfId="0" applyNumberFormat="1" applyFont="1" applyBorder="1" applyAlignment="1" applyProtection="1">
      <alignment horizontal="left" vertical="center" wrapText="1" indent="1"/>
    </xf>
    <xf numFmtId="0" fontId="24" fillId="0" borderId="15" xfId="0" applyFont="1" applyBorder="1" applyAlignment="1" applyProtection="1">
      <alignment vertical="center"/>
    </xf>
    <xf numFmtId="49" fontId="9" fillId="0" borderId="8" xfId="0" applyNumberFormat="1" applyFont="1" applyBorder="1" applyAlignment="1" applyProtection="1">
      <alignment horizontal="left" vertical="center" wrapText="1" indent="1"/>
    </xf>
    <xf numFmtId="49" fontId="9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3" fillId="0" borderId="8" xfId="0" applyNumberFormat="1" applyFont="1" applyBorder="1" applyAlignment="1" applyProtection="1">
      <alignment horizontal="left" vertical="center" wrapText="1" indent="1"/>
    </xf>
    <xf numFmtId="49" fontId="23" fillId="0" borderId="4" xfId="0" applyNumberFormat="1" applyFont="1" applyBorder="1" applyAlignment="1" applyProtection="1">
      <alignment horizontal="left" vertical="center" wrapText="1" indent="1"/>
    </xf>
    <xf numFmtId="0" fontId="24" fillId="0" borderId="9" xfId="0" applyFont="1" applyBorder="1" applyAlignment="1" applyProtection="1">
      <alignment vertical="center"/>
    </xf>
    <xf numFmtId="49" fontId="23" fillId="0" borderId="10" xfId="0" applyNumberFormat="1" applyFont="1" applyBorder="1" applyAlignment="1" applyProtection="1">
      <alignment horizontal="left" vertical="center" wrapText="1" indent="1"/>
    </xf>
    <xf numFmtId="49" fontId="23" fillId="0" borderId="11" xfId="0" applyNumberFormat="1" applyFont="1" applyBorder="1" applyAlignment="1" applyProtection="1">
      <alignment horizontal="left" vertical="center" wrapText="1" indent="1"/>
    </xf>
    <xf numFmtId="0" fontId="24" fillId="0" borderId="12" xfId="0" applyFont="1" applyBorder="1" applyAlignment="1" applyProtection="1">
      <alignment vertical="center"/>
    </xf>
    <xf numFmtId="165" fontId="24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31" fillId="0" borderId="0" xfId="0" applyNumberFormat="1" applyFont="1" applyAlignment="1">
      <alignment horizontal="right" vertical="top" indent="1"/>
    </xf>
    <xf numFmtId="3" fontId="31" fillId="0" borderId="0" xfId="0" applyNumberFormat="1" applyFont="1" applyAlignment="1" applyProtection="1">
      <alignment horizontal="left" vertical="top"/>
    </xf>
    <xf numFmtId="0" fontId="32" fillId="0" borderId="0" xfId="0" applyFont="1" applyAlignment="1">
      <alignment horizontal="left" vertical="center"/>
    </xf>
    <xf numFmtId="0" fontId="30" fillId="0" borderId="0" xfId="0" applyFont="1"/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35" fillId="8" borderId="0" xfId="0" applyFont="1" applyFill="1" applyAlignment="1">
      <alignment horizontal="left" wrapText="1"/>
    </xf>
    <xf numFmtId="0" fontId="33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2" fontId="15" fillId="7" borderId="25" xfId="0" applyNumberFormat="1" applyFont="1" applyFill="1" applyBorder="1" applyAlignment="1">
      <alignment horizontal="center" vertical="center" wrapText="1"/>
    </xf>
    <xf numFmtId="2" fontId="15" fillId="7" borderId="35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1" fillId="7" borderId="45" xfId="0" applyFont="1" applyFill="1" applyBorder="1" applyAlignment="1">
      <alignment horizontal="center" vertical="top" wrapText="1"/>
    </xf>
    <xf numFmtId="0" fontId="11" fillId="7" borderId="47" xfId="0" applyFont="1" applyFill="1" applyBorder="1" applyAlignment="1">
      <alignment horizontal="center" vertical="top" wrapText="1"/>
    </xf>
    <xf numFmtId="0" fontId="16" fillId="0" borderId="30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165" fontId="29" fillId="5" borderId="38" xfId="0" applyNumberFormat="1" applyFont="1" applyFill="1" applyBorder="1" applyAlignment="1">
      <alignment horizontal="center" vertical="center"/>
    </xf>
    <xf numFmtId="165" fontId="29" fillId="5" borderId="40" xfId="0" applyNumberFormat="1" applyFont="1" applyFill="1" applyBorder="1" applyAlignment="1">
      <alignment horizontal="center" vertical="center"/>
    </xf>
    <xf numFmtId="165" fontId="29" fillId="5" borderId="39" xfId="0" applyNumberFormat="1" applyFont="1" applyFill="1" applyBorder="1" applyAlignment="1">
      <alignment horizontal="center" vertical="center"/>
    </xf>
    <xf numFmtId="165" fontId="29" fillId="6" borderId="38" xfId="0" applyNumberFormat="1" applyFont="1" applyFill="1" applyBorder="1" applyAlignment="1">
      <alignment horizontal="center" vertical="center"/>
    </xf>
    <xf numFmtId="165" fontId="29" fillId="6" borderId="39" xfId="0" applyNumberFormat="1" applyFont="1" applyFill="1" applyBorder="1" applyAlignment="1">
      <alignment horizontal="center" vertical="center"/>
    </xf>
    <xf numFmtId="165" fontId="29" fillId="4" borderId="41" xfId="0" applyNumberFormat="1" applyFont="1" applyFill="1" applyBorder="1" applyAlignment="1">
      <alignment horizontal="center" vertical="center"/>
    </xf>
    <xf numFmtId="165" fontId="29" fillId="4" borderId="39" xfId="0" applyNumberFormat="1" applyFont="1" applyFill="1" applyBorder="1" applyAlignment="1">
      <alignment horizontal="center" vertical="center"/>
    </xf>
    <xf numFmtId="165" fontId="29" fillId="4" borderId="38" xfId="0" applyNumberFormat="1" applyFont="1" applyFill="1" applyBorder="1" applyAlignment="1">
      <alignment horizontal="center" vertical="center"/>
    </xf>
    <xf numFmtId="165" fontId="29" fillId="4" borderId="4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F$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22" fmlaLink="$F$33" fmlaRange="$F$34:$F$3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0</xdr:rowOff>
        </xdr:from>
        <xdr:to>
          <xdr:col>1</xdr:col>
          <xdr:colOff>4238625</xdr:colOff>
          <xdr:row>6</xdr:row>
          <xdr:rowOff>0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20675" y="1151467"/>
              <a:ext cx="4171950" cy="762000"/>
              <a:chOff x="315624" y="1255571"/>
              <a:chExt cx="4171950" cy="746840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1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2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315624" y="1782037"/>
                <a:ext cx="4171950" cy="2203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3 участника (данные из формы, балансы отсутствуют)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32</xdr:row>
          <xdr:rowOff>45720</xdr:rowOff>
        </xdr:from>
        <xdr:to>
          <xdr:col>4</xdr:col>
          <xdr:colOff>99060</xdr:colOff>
          <xdr:row>32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812291" cy="2064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+Фин_вложения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+Фин_вложения)/(</a:t>
              </a:r>
              <a:r>
                <a:rPr lang="ru-RU" sz="650" b="0" i="0">
                  <a:latin typeface="Cambria Math" panose="02040503050406030204" pitchFamily="18" charset="0"/>
                </a:rPr>
                <a:t>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13</xdr:row>
      <xdr:rowOff>218440</xdr:rowOff>
    </xdr:from>
    <xdr:ext cx="75924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+Стр1240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Стр1250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+Стр1240)/</a:t>
              </a:r>
              <a:r>
                <a:rPr lang="ru-RU" sz="650" b="0" i="0">
                  <a:latin typeface="Cambria Math" panose="02040503050406030204" pitchFamily="18" charset="0"/>
                </a:rPr>
                <a:t>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5"/>
  <sheetViews>
    <sheetView showGridLines="0" tabSelected="1" zoomScale="90" zoomScaleNormal="90" workbookViewId="0">
      <selection activeCell="J22" sqref="J22"/>
    </sheetView>
  </sheetViews>
  <sheetFormatPr defaultRowHeight="14.4" x14ac:dyDescent="0.3"/>
  <cols>
    <col min="1" max="1" width="3.6640625" customWidth="1"/>
    <col min="2" max="2" width="70.6640625" customWidth="1"/>
    <col min="3" max="5" width="25.6640625" customWidth="1"/>
    <col min="6" max="6" width="7.6640625" hidden="1" customWidth="1"/>
    <col min="7" max="7" width="3.6640625" customWidth="1"/>
  </cols>
  <sheetData>
    <row r="1" spans="2:7" ht="35.1" customHeight="1" thickBot="1" x14ac:dyDescent="0.35">
      <c r="B1" s="141" t="s">
        <v>118</v>
      </c>
      <c r="C1" s="141"/>
      <c r="D1" s="141"/>
      <c r="E1" s="141"/>
    </row>
    <row r="2" spans="2:7" x14ac:dyDescent="0.3">
      <c r="B2" s="148" t="s">
        <v>25</v>
      </c>
      <c r="C2" s="146" t="s">
        <v>26</v>
      </c>
      <c r="D2" s="146"/>
      <c r="E2" s="147"/>
    </row>
    <row r="3" spans="2:7" ht="41.4" thickBot="1" x14ac:dyDescent="0.35">
      <c r="B3" s="149"/>
      <c r="C3" s="6" t="s">
        <v>27</v>
      </c>
      <c r="D3" s="6" t="s">
        <v>28</v>
      </c>
      <c r="E3" s="7" t="s">
        <v>29</v>
      </c>
    </row>
    <row r="4" spans="2:7" ht="20.100000000000001" customHeight="1" x14ac:dyDescent="0.3">
      <c r="B4" s="55"/>
      <c r="C4" s="49">
        <v>0.33300000000000002</v>
      </c>
      <c r="D4" s="49">
        <v>0.66700000000000004</v>
      </c>
      <c r="E4" s="50">
        <v>0</v>
      </c>
      <c r="F4" s="58">
        <v>1</v>
      </c>
      <c r="G4" s="14"/>
    </row>
    <row r="5" spans="2:7" ht="20.100000000000001" customHeight="1" x14ac:dyDescent="0.3">
      <c r="B5" s="56"/>
      <c r="C5" s="51">
        <v>0</v>
      </c>
      <c r="D5" s="51">
        <v>1</v>
      </c>
      <c r="E5" s="52">
        <v>0</v>
      </c>
      <c r="F5" s="14"/>
      <c r="G5" s="14"/>
    </row>
    <row r="6" spans="2:7" ht="20.100000000000001" customHeight="1" thickBot="1" x14ac:dyDescent="0.35">
      <c r="B6" s="57"/>
      <c r="C6" s="53">
        <v>0</v>
      </c>
      <c r="D6" s="53">
        <v>0</v>
      </c>
      <c r="E6" s="54">
        <v>1</v>
      </c>
      <c r="F6" s="14"/>
      <c r="G6" s="14"/>
    </row>
    <row r="7" spans="2:7" ht="30" customHeight="1" x14ac:dyDescent="0.3">
      <c r="C7" s="150" t="str">
        <f>IF(ТипУчастника=1,"","Итоговая оценка в баллах
будет дополнительно уменьшена на 25%")</f>
        <v/>
      </c>
      <c r="D7" s="150"/>
      <c r="E7" s="150"/>
      <c r="F7" s="5">
        <f>IF(ТипУчастника=1,0%,25%)</f>
        <v>0</v>
      </c>
    </row>
    <row r="8" spans="2:7" ht="20.100000000000001" customHeight="1" thickBot="1" x14ac:dyDescent="0.35">
      <c r="D8" s="18" t="s">
        <v>30</v>
      </c>
      <c r="E8" s="18" t="str">
        <f>IF(ТипУчастника=1,"↓Заполнить↓","")</f>
        <v>↓Заполнить↓</v>
      </c>
    </row>
    <row r="9" spans="2:7" ht="60" customHeight="1" x14ac:dyDescent="0.3">
      <c r="B9" s="8" t="s">
        <v>15</v>
      </c>
      <c r="C9" s="9" t="s">
        <v>117</v>
      </c>
      <c r="D9" s="9" t="s">
        <v>20</v>
      </c>
      <c r="E9" s="10" t="s">
        <v>21</v>
      </c>
    </row>
    <row r="10" spans="2:7" x14ac:dyDescent="0.3">
      <c r="B10" s="61" t="s">
        <v>0</v>
      </c>
      <c r="C10" s="2"/>
      <c r="D10" s="4"/>
      <c r="E10" s="11"/>
    </row>
    <row r="11" spans="2:7" x14ac:dyDescent="0.3">
      <c r="B11" s="17" t="s">
        <v>1</v>
      </c>
      <c r="C11" s="2">
        <v>1150</v>
      </c>
      <c r="D11" s="45"/>
      <c r="E11" s="46"/>
    </row>
    <row r="12" spans="2:7" x14ac:dyDescent="0.3">
      <c r="B12" s="17" t="s">
        <v>2</v>
      </c>
      <c r="C12" s="2">
        <v>1100</v>
      </c>
      <c r="D12" s="45"/>
      <c r="E12" s="46"/>
    </row>
    <row r="13" spans="2:7" x14ac:dyDescent="0.3">
      <c r="B13" s="61" t="s">
        <v>3</v>
      </c>
      <c r="C13" s="2"/>
      <c r="D13" s="4"/>
      <c r="E13" s="11"/>
    </row>
    <row r="14" spans="2:7" x14ac:dyDescent="0.3">
      <c r="B14" s="17" t="s">
        <v>4</v>
      </c>
      <c r="C14" s="2">
        <v>1230</v>
      </c>
      <c r="D14" s="45"/>
      <c r="E14" s="46"/>
    </row>
    <row r="15" spans="2:7" x14ac:dyDescent="0.3">
      <c r="B15" s="17" t="s">
        <v>5</v>
      </c>
      <c r="C15" s="2">
        <v>1240</v>
      </c>
      <c r="D15" s="45"/>
      <c r="E15" s="46"/>
    </row>
    <row r="16" spans="2:7" x14ac:dyDescent="0.3">
      <c r="B16" s="17" t="s">
        <v>6</v>
      </c>
      <c r="C16" s="2">
        <v>1250</v>
      </c>
      <c r="D16" s="45"/>
      <c r="E16" s="46"/>
    </row>
    <row r="17" spans="2:5" x14ac:dyDescent="0.3">
      <c r="B17" s="15" t="s">
        <v>7</v>
      </c>
      <c r="C17" s="2">
        <v>1600</v>
      </c>
      <c r="D17" s="45"/>
      <c r="E17" s="46"/>
    </row>
    <row r="18" spans="2:5" x14ac:dyDescent="0.3">
      <c r="B18" s="61" t="s">
        <v>31</v>
      </c>
      <c r="C18" s="2"/>
      <c r="D18" s="4"/>
      <c r="E18" s="11"/>
    </row>
    <row r="19" spans="2:5" x14ac:dyDescent="0.3">
      <c r="B19" s="17" t="s">
        <v>8</v>
      </c>
      <c r="C19" s="2">
        <v>1300</v>
      </c>
      <c r="D19" s="45"/>
      <c r="E19" s="46"/>
    </row>
    <row r="20" spans="2:5" x14ac:dyDescent="0.3">
      <c r="B20" s="61" t="s">
        <v>9</v>
      </c>
      <c r="C20" s="2"/>
      <c r="D20" s="4"/>
      <c r="E20" s="11"/>
    </row>
    <row r="21" spans="2:5" x14ac:dyDescent="0.3">
      <c r="B21" s="17" t="s">
        <v>10</v>
      </c>
      <c r="C21" s="2">
        <v>1410</v>
      </c>
      <c r="D21" s="45"/>
      <c r="E21" s="46"/>
    </row>
    <row r="22" spans="2:5" x14ac:dyDescent="0.3">
      <c r="B22" s="17" t="s">
        <v>11</v>
      </c>
      <c r="C22" s="2">
        <v>1400</v>
      </c>
      <c r="D22" s="45"/>
      <c r="E22" s="46"/>
    </row>
    <row r="23" spans="2:5" x14ac:dyDescent="0.3">
      <c r="B23" s="61" t="s">
        <v>12</v>
      </c>
      <c r="C23" s="2"/>
      <c r="D23" s="4"/>
      <c r="E23" s="11"/>
    </row>
    <row r="24" spans="2:5" x14ac:dyDescent="0.3">
      <c r="B24" s="17" t="s">
        <v>10</v>
      </c>
      <c r="C24" s="2">
        <v>1510</v>
      </c>
      <c r="D24" s="45"/>
      <c r="E24" s="46"/>
    </row>
    <row r="25" spans="2:5" x14ac:dyDescent="0.3">
      <c r="B25" s="17" t="s">
        <v>13</v>
      </c>
      <c r="C25" s="2">
        <v>1520</v>
      </c>
      <c r="D25" s="45"/>
      <c r="E25" s="46"/>
    </row>
    <row r="26" spans="2:5" x14ac:dyDescent="0.3">
      <c r="B26" s="17" t="s">
        <v>14</v>
      </c>
      <c r="C26" s="2">
        <v>1500</v>
      </c>
      <c r="D26" s="45"/>
      <c r="E26" s="46"/>
    </row>
    <row r="27" spans="2:5" ht="15" thickBot="1" x14ac:dyDescent="0.35">
      <c r="B27" s="16" t="s">
        <v>7</v>
      </c>
      <c r="C27" s="3">
        <v>1700</v>
      </c>
      <c r="D27" s="47"/>
      <c r="E27" s="48"/>
    </row>
    <row r="28" spans="2:5" x14ac:dyDescent="0.3">
      <c r="B28" s="12" t="s">
        <v>16</v>
      </c>
      <c r="C28" s="1" t="s">
        <v>24</v>
      </c>
      <c r="D28" s="1" t="s">
        <v>22</v>
      </c>
      <c r="E28" s="13" t="s">
        <v>23</v>
      </c>
    </row>
    <row r="29" spans="2:5" x14ac:dyDescent="0.3">
      <c r="B29" s="17" t="s">
        <v>17</v>
      </c>
      <c r="C29" s="2">
        <v>2110</v>
      </c>
      <c r="D29" s="45"/>
      <c r="E29" s="46"/>
    </row>
    <row r="30" spans="2:5" x14ac:dyDescent="0.3">
      <c r="B30" s="17" t="s">
        <v>18</v>
      </c>
      <c r="C30" s="2" t="s">
        <v>106</v>
      </c>
      <c r="D30" s="45"/>
      <c r="E30" s="46"/>
    </row>
    <row r="31" spans="2:5" ht="15" thickBot="1" x14ac:dyDescent="0.35">
      <c r="B31" s="21" t="s">
        <v>19</v>
      </c>
      <c r="C31" s="3">
        <v>2300</v>
      </c>
      <c r="D31" s="47"/>
      <c r="E31" s="48"/>
    </row>
    <row r="32" spans="2:5" ht="30" customHeight="1" x14ac:dyDescent="0.3">
      <c r="B32" s="153" t="s">
        <v>119</v>
      </c>
      <c r="C32" s="154"/>
      <c r="D32" s="151"/>
      <c r="E32" s="152"/>
    </row>
    <row r="33" spans="2:6" ht="30" customHeight="1" thickBot="1" x14ac:dyDescent="0.35">
      <c r="B33" s="142" t="s">
        <v>103</v>
      </c>
      <c r="C33" s="143"/>
      <c r="D33" s="144"/>
      <c r="E33" s="145"/>
      <c r="F33" s="68">
        <v>1</v>
      </c>
    </row>
    <row r="34" spans="2:6" x14ac:dyDescent="0.3">
      <c r="F34" t="s">
        <v>105</v>
      </c>
    </row>
    <row r="35" spans="2:6" ht="33" customHeight="1" x14ac:dyDescent="0.3">
      <c r="B35" s="140" t="s">
        <v>120</v>
      </c>
      <c r="C35" s="140"/>
      <c r="D35" s="140"/>
      <c r="E35" s="140"/>
      <c r="F35" t="s">
        <v>104</v>
      </c>
    </row>
  </sheetData>
  <sheetProtection algorithmName="SHA-512" hashValue="+tco71xniUcj7spYTnDNuNb6uCos7mJDYlX/CBF18coGcp3+O7C7dzok6FOxIwhuQQRSq+jL0y+qTxCr2uKZPg==" saltValue="bzlCCsH7OR6+ngqHXdUaqA==" spinCount="100000" sheet="1" formatCells="0" formatColumns="0" formatRows="0"/>
  <mergeCells count="9">
    <mergeCell ref="B35:E35"/>
    <mergeCell ref="B1:E1"/>
    <mergeCell ref="B33:C33"/>
    <mergeCell ref="D33:E33"/>
    <mergeCell ref="C2:E2"/>
    <mergeCell ref="B2:B3"/>
    <mergeCell ref="C7:E7"/>
    <mergeCell ref="D32:E32"/>
    <mergeCell ref="B32:C32"/>
  </mergeCells>
  <dataValidations count="2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1:E12 D14:E17 D19:E19 D21:E22 D24:E27 D29:E31" xr:uid="{C7264BBD-8FEC-46E8-9144-720309265BE2}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2:E32" xr:uid="{805D0785-4857-4564-B4F9-94C3987C6B4E}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30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3</xdr:row>
                    <xdr:rowOff>0</xdr:rowOff>
                  </from>
                  <to>
                    <xdr:col>1</xdr:col>
                    <xdr:colOff>4236720</xdr:colOff>
                    <xdr:row>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</xdr:row>
                    <xdr:rowOff>7620</xdr:rowOff>
                  </from>
                  <to>
                    <xdr:col>1</xdr:col>
                    <xdr:colOff>4236720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5</xdr:row>
                    <xdr:rowOff>30480</xdr:rowOff>
                  </from>
                  <to>
                    <xdr:col>1</xdr:col>
                    <xdr:colOff>4236720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32</xdr:row>
                    <xdr:rowOff>45720</xdr:rowOff>
                  </from>
                  <to>
                    <xdr:col>4</xdr:col>
                    <xdr:colOff>99060</xdr:colOff>
                    <xdr:row>32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18"/>
  <sheetViews>
    <sheetView showGridLines="0" zoomScale="80" zoomScaleNormal="80" workbookViewId="0">
      <selection activeCell="J4" sqref="J4"/>
    </sheetView>
  </sheetViews>
  <sheetFormatPr defaultRowHeight="14.4" x14ac:dyDescent="0.3"/>
  <cols>
    <col min="1" max="1" width="3.6640625" customWidth="1"/>
    <col min="2" max="4" width="35.6640625" style="19" customWidth="1"/>
    <col min="5" max="5" width="9.33203125" customWidth="1"/>
    <col min="6" max="7" width="7.6640625" customWidth="1"/>
    <col min="8" max="8" width="25.6640625" customWidth="1"/>
    <col min="9" max="9" width="0.88671875" customWidth="1"/>
    <col min="10" max="11" width="15.6640625" customWidth="1"/>
    <col min="12" max="12" width="0.88671875" customWidth="1"/>
    <col min="13" max="14" width="15.6640625" customWidth="1"/>
    <col min="15" max="15" width="0.88671875" customWidth="1"/>
    <col min="16" max="16" width="15.6640625" customWidth="1"/>
    <col min="17" max="17" width="0.88671875" customWidth="1"/>
    <col min="18" max="18" width="15.6640625" customWidth="1"/>
    <col min="19" max="20" width="3.6640625" customWidth="1"/>
  </cols>
  <sheetData>
    <row r="1" spans="2:20" ht="15" thickBot="1" x14ac:dyDescent="0.35"/>
    <row r="2" spans="2:20" ht="35.1" customHeight="1" x14ac:dyDescent="0.3">
      <c r="B2" s="59" t="s">
        <v>100</v>
      </c>
      <c r="C2" s="155">
        <f>ROUND(IF(ТипУчастника=1,AVERAGE(R9:R18),AVERAGE(R9:R18)-AVERAGE(R9:R18)*Регресс),2)</f>
        <v>0</v>
      </c>
      <c r="D2" s="156"/>
      <c r="M2" s="134" t="s">
        <v>111</v>
      </c>
      <c r="N2" s="135">
        <v>15</v>
      </c>
    </row>
    <row r="3" spans="2:20" ht="20.100000000000001" customHeight="1" x14ac:dyDescent="0.3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34" t="s">
        <v>112</v>
      </c>
      <c r="N3" s="135">
        <v>15</v>
      </c>
    </row>
    <row r="4" spans="2:20" ht="54.9" customHeight="1" x14ac:dyDescent="0.3">
      <c r="B4" s="42" t="s">
        <v>97</v>
      </c>
      <c r="C4" s="43" t="s">
        <v>98</v>
      </c>
      <c r="D4" s="44" t="s">
        <v>99</v>
      </c>
      <c r="M4" s="134" t="s">
        <v>113</v>
      </c>
      <c r="N4" s="135">
        <v>15</v>
      </c>
    </row>
    <row r="5" spans="2:20" ht="24.9" customHeight="1" thickBot="1" x14ac:dyDescent="0.35">
      <c r="B5" s="168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/>
      </c>
      <c r="C5" s="169"/>
      <c r="D5" s="170"/>
    </row>
    <row r="6" spans="2:20" ht="9.9" customHeight="1" thickBot="1" x14ac:dyDescent="0.35">
      <c r="B6" s="20"/>
      <c r="C6" s="20"/>
      <c r="D6" s="20"/>
    </row>
    <row r="7" spans="2:20" ht="24.9" customHeight="1" x14ac:dyDescent="0.3">
      <c r="B7" s="165" t="s">
        <v>42</v>
      </c>
      <c r="C7" s="161" t="s">
        <v>43</v>
      </c>
      <c r="D7" s="161" t="s">
        <v>44</v>
      </c>
      <c r="E7" s="161"/>
      <c r="F7" s="161"/>
      <c r="G7" s="161"/>
      <c r="H7" s="163"/>
      <c r="J7" s="165" t="s">
        <v>55</v>
      </c>
      <c r="K7" s="163"/>
      <c r="M7" s="171" t="s">
        <v>56</v>
      </c>
      <c r="N7" s="172"/>
      <c r="P7" s="173" t="s">
        <v>102</v>
      </c>
      <c r="R7" s="166" t="s">
        <v>96</v>
      </c>
    </row>
    <row r="8" spans="2:20" ht="69.900000000000006" customHeight="1" thickBot="1" x14ac:dyDescent="0.35">
      <c r="B8" s="175"/>
      <c r="C8" s="162"/>
      <c r="D8" s="162"/>
      <c r="E8" s="162"/>
      <c r="F8" s="162"/>
      <c r="G8" s="162"/>
      <c r="H8" s="164"/>
      <c r="J8" s="60" t="s">
        <v>107</v>
      </c>
      <c r="K8" s="7" t="s">
        <v>101</v>
      </c>
      <c r="M8" s="60" t="s">
        <v>107</v>
      </c>
      <c r="N8" s="7" t="s">
        <v>101</v>
      </c>
      <c r="P8" s="174"/>
      <c r="R8" s="167"/>
    </row>
    <row r="9" spans="2:20" ht="45" customHeight="1" x14ac:dyDescent="0.3">
      <c r="B9" s="110" t="s">
        <v>45</v>
      </c>
      <c r="C9" s="111" t="s">
        <v>108</v>
      </c>
      <c r="D9" s="160"/>
      <c r="E9" s="160"/>
      <c r="F9" s="160"/>
      <c r="G9" s="160"/>
      <c r="H9" s="112"/>
      <c r="J9" s="82">
        <f>IFERROR(((Стр1400+Стр1500)/Стр1700)*100,1000)</f>
        <v>1000</v>
      </c>
      <c r="K9" s="83">
        <f xml:space="preserve">
IF(ТипУчастника=1,ФП01*Тип1Вес2,
IF(ТипУчастника=2,ФП01*Тип2Вес2,
IF(ТипУчастника=3,ФП01*Тип3Вес3
)))</f>
        <v>667</v>
      </c>
      <c r="L9" s="69"/>
      <c r="M9" s="82">
        <f>IFERROR(IF(ТипУчастника=1,((Стр1400пр+Стр1500пр)/Стр1700пр)*100,"–//–"),1000)</f>
        <v>1000</v>
      </c>
      <c r="N9" s="83">
        <f>IF(ТипУчастника=1,ФП01пр*Тип1Вес1,"–//–")</f>
        <v>333</v>
      </c>
      <c r="O9" s="69"/>
      <c r="P9" s="84">
        <f>IF(ТипУчастника=1,ROUND(ФП01Коэф+ФП01прКоэф,Округл1),ROUND(ФП01Коэф,Округл1))</f>
        <v>1000</v>
      </c>
      <c r="Q9" s="69"/>
      <c r="R9" s="85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6" t="s">
        <v>86</v>
      </c>
    </row>
    <row r="10" spans="2:20" ht="45" customHeight="1" x14ac:dyDescent="0.3">
      <c r="B10" s="113" t="s">
        <v>46</v>
      </c>
      <c r="C10" s="114" t="s">
        <v>114</v>
      </c>
      <c r="D10" s="159"/>
      <c r="E10" s="159"/>
      <c r="F10" s="159"/>
      <c r="G10" s="159"/>
      <c r="H10" s="115"/>
      <c r="J10" s="62">
        <f>IFERROR(((Стр2300+ABS(Стр2330))*(1-0.2)/(Стр1300+Стр1410))*100,-1000)</f>
        <v>-1000</v>
      </c>
      <c r="K10" s="63">
        <f xml:space="preserve">
IF(ТипУчастника=1,ФП02*Тип1Вес2,
IF(ТипУчастника=2,ФП02*Тип2Вес2,
IF(ТипУчастника=3,ФП02*Тип3Вес3
)))</f>
        <v>-667</v>
      </c>
      <c r="M10" s="62">
        <f>IFERROR(IF(ТипУчастника=1,((Стр2300пр+ABS(Стр2330пр))*(1-0.2)/(Стр1300пр+Стр1410пр))*100,"–//–"),-1000)</f>
        <v>-1000</v>
      </c>
      <c r="N10" s="63">
        <f>IF(ТипУчастника=1,ФП02пр*Тип1Вес1,"–//–")</f>
        <v>-333</v>
      </c>
      <c r="P10" s="64">
        <f>IF(ТипУчастника=1,ROUND(ФП02Коэф+ФП02прКоэф,Округл1),ROUND(ФП02Коэф,Округл1))</f>
        <v>-1000</v>
      </c>
      <c r="R10" s="67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6" t="s">
        <v>87</v>
      </c>
    </row>
    <row r="11" spans="2:20" ht="45" customHeight="1" x14ac:dyDescent="0.3">
      <c r="B11" s="113" t="s">
        <v>47</v>
      </c>
      <c r="C11" s="114" t="s">
        <v>34</v>
      </c>
      <c r="D11" s="159"/>
      <c r="E11" s="159"/>
      <c r="F11" s="159"/>
      <c r="G11" s="159"/>
      <c r="H11" s="115"/>
      <c r="J11" s="62">
        <f>IFERROR(((Стр1410+Стр1510)-Стр1250)/(Стр2300+ABS(Стр2330)+Стр1150/10),1000)</f>
        <v>1000</v>
      </c>
      <c r="K11" s="63">
        <f xml:space="preserve">
IF(ТипУчастника=1,ФП03*Тип1Вес2,
IF(ТипУчастника=2,ФП03*Тип2Вес2,
IF(ТипУчастника=3,ФП03*Тип3Вес3
)))</f>
        <v>667</v>
      </c>
      <c r="M11" s="62">
        <f>IFERROR(IF(ТипУчастника=1,((Стр1410пр+Стр1510пр)-Стр1250пр)/(Стр2300пр+ABS(Стр2330пр)+Стр1150пр/10),"–//–"),1000)</f>
        <v>1000</v>
      </c>
      <c r="N11" s="63">
        <f>IF(ТипУчастника=1,ФП03пр*Тип1Вес1,"–//–")</f>
        <v>333</v>
      </c>
      <c r="P11" s="66">
        <f>IF(ТипУчастника=1,ROUND(ФП03Коэф+ФП03прКоэф,Округл0),ROUND(ФП03Коэф,Округл0))</f>
        <v>1000</v>
      </c>
      <c r="R11" s="67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6" t="s">
        <v>88</v>
      </c>
    </row>
    <row r="12" spans="2:20" s="69" customFormat="1" ht="45" customHeight="1" x14ac:dyDescent="0.3">
      <c r="B12" s="116" t="s">
        <v>48</v>
      </c>
      <c r="C12" s="117" t="s">
        <v>35</v>
      </c>
      <c r="D12" s="158"/>
      <c r="E12" s="158"/>
      <c r="F12" s="158"/>
      <c r="G12" s="158"/>
      <c r="H12" s="118"/>
      <c r="J12" s="70">
        <f>IFERROR((Стр1230*360)/Стр2110,1000)</f>
        <v>1000</v>
      </c>
      <c r="K12" s="71">
        <f xml:space="preserve">
IF(ТипУчастника=1,ФП04*Тип1Вес2,
IF(ТипУчастника=2,ФП04*Тип2Вес2,
IF(ТипУчастника=3,ФП04*Тип3Вес3
)))</f>
        <v>667</v>
      </c>
      <c r="M12" s="70">
        <f>IFERROR(IF(ТипУчастника=1,(Стр1230пр*360)/Стр2110пр,"–//–"),1000)</f>
        <v>1000</v>
      </c>
      <c r="N12" s="71">
        <f>IF(ТипУчастника=1,ФП04пр*Тип1Вес1,"–//–")</f>
        <v>333</v>
      </c>
      <c r="P12" s="78">
        <f>IF(ТипУчастника=1,ROUND(ФП04Коэф+ФП04прКоэф,Округл0),ROUND(ФП04Коэф,Округл0))</f>
        <v>1000</v>
      </c>
      <c r="R12" s="73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6" t="s">
        <v>89</v>
      </c>
    </row>
    <row r="13" spans="2:20" s="69" customFormat="1" ht="45" customHeight="1" x14ac:dyDescent="0.3">
      <c r="B13" s="116" t="s">
        <v>49</v>
      </c>
      <c r="C13" s="117" t="s">
        <v>109</v>
      </c>
      <c r="D13" s="158"/>
      <c r="E13" s="158"/>
      <c r="F13" s="158"/>
      <c r="G13" s="158"/>
      <c r="H13" s="118"/>
      <c r="J13" s="70">
        <f>IFERROR((Стр1520*360)/Стр2110,1000)</f>
        <v>1000</v>
      </c>
      <c r="K13" s="71">
        <f xml:space="preserve">
IF(ТипУчастника=1,ФП05*Тип1Вес2,
IF(ТипУчастника=2,ФП05*Тип2Вес2,
IF(ТипУчастника=3,ФП05*Тип3Вес3
)))</f>
        <v>667</v>
      </c>
      <c r="M13" s="70">
        <f>IFERROR(IF(ТипУчастника=1,(Стр1520пр*360)/Стр2110пр,"–//–"),1000)</f>
        <v>1000</v>
      </c>
      <c r="N13" s="71">
        <f>IF(ТипУчастника=1,ФП05пр*Тип1Вес1,"–//–")</f>
        <v>333</v>
      </c>
      <c r="P13" s="78">
        <f>IF(ТипУчастника=1,ROUND(ФП05Коэф+ФП05прКоэф,Округл0),ROUND(ФП05Коэф,Округл0))</f>
        <v>1000</v>
      </c>
      <c r="R13" s="73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6" t="s">
        <v>90</v>
      </c>
    </row>
    <row r="14" spans="2:20" ht="45" customHeight="1" x14ac:dyDescent="0.3">
      <c r="B14" s="113" t="s">
        <v>50</v>
      </c>
      <c r="C14" s="114" t="s">
        <v>37</v>
      </c>
      <c r="D14" s="159"/>
      <c r="E14" s="159"/>
      <c r="F14" s="159"/>
      <c r="G14" s="159"/>
      <c r="H14" s="115"/>
      <c r="J14" s="62">
        <f>IFERROR((Стр1250+Стр1240)/Стр1500,-1000)</f>
        <v>-1000</v>
      </c>
      <c r="K14" s="63">
        <f xml:space="preserve">
IF(ТипУчастника=1,ФП06*Тип1Вес2,
IF(ТипУчастника=2,ФП06*Тип2Вес2,
IF(ТипУчастника=3,ФП06*Тип3Вес3
)))</f>
        <v>-667</v>
      </c>
      <c r="M14" s="62">
        <f>IFERROR(IF(ТипУчастника=1,(Стр1250пр+Стр1240пр)/Стр1500пр,"–//–"),-1000)</f>
        <v>-1000</v>
      </c>
      <c r="N14" s="63">
        <f>IF(ТипУчастника=1,ФП06пр*Тип1Вес1,"–//–")</f>
        <v>-333</v>
      </c>
      <c r="P14" s="65">
        <f>IF(ТипУчастника=1,ROUND(ФП06Коэф+ФП06прКоэф,Округл2),ROUND(ФП06Коэф,Округл2))</f>
        <v>-1000</v>
      </c>
      <c r="R14" s="67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6" t="s">
        <v>91</v>
      </c>
    </row>
    <row r="15" spans="2:20" ht="45" customHeight="1" x14ac:dyDescent="0.3">
      <c r="B15" s="113" t="s">
        <v>51</v>
      </c>
      <c r="C15" s="114" t="s">
        <v>38</v>
      </c>
      <c r="D15" s="159"/>
      <c r="E15" s="159"/>
      <c r="F15" s="159"/>
      <c r="G15" s="159"/>
      <c r="H15" s="115"/>
      <c r="J15" s="62">
        <f>IFERROR(Стр1100/(Стр1300+Стр1400),1000)</f>
        <v>1000</v>
      </c>
      <c r="K15" s="63">
        <f xml:space="preserve">
IF(ТипУчастника=1,ФП07*Тип1Вес2,
IF(ТипУчастника=2,ФП07*Тип2Вес2,
IF(ТипУчастника=3,ФП07*Тип3Вес3
)))</f>
        <v>667</v>
      </c>
      <c r="M15" s="62">
        <f>IFERROR(IF(ТипУчастника=1,Стр1100пр/(Стр1300пр+Стр1400пр),"–//–"),1000)</f>
        <v>1000</v>
      </c>
      <c r="N15" s="63">
        <f>IF(ТипУчастника=1,ФП07пр*Тип1Вес1,"–//–")</f>
        <v>333</v>
      </c>
      <c r="P15" s="64">
        <f>IF(ТипУчастника=1,ROUND(ФП07Коэф+ФП07прКоэф,Округл1),ROUND(ФП07Коэф,Округл1))</f>
        <v>1000</v>
      </c>
      <c r="R15" s="67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6" t="s">
        <v>92</v>
      </c>
      <c r="T15" s="38"/>
    </row>
    <row r="16" spans="2:20" ht="45" customHeight="1" x14ac:dyDescent="0.3">
      <c r="B16" s="116" t="s">
        <v>52</v>
      </c>
      <c r="C16" s="117" t="s">
        <v>110</v>
      </c>
      <c r="D16" s="158"/>
      <c r="E16" s="158"/>
      <c r="F16" s="158"/>
      <c r="G16" s="158"/>
      <c r="H16" s="118"/>
      <c r="J16" s="70">
        <f>IFERROR(Стр1300/Стр1700,-1000)</f>
        <v>-1000</v>
      </c>
      <c r="K16" s="71">
        <f xml:space="preserve">
IF(ТипУчастника=1,ФП08*Тип1Вес2,
IF(ТипУчастника=2,ФП08*Тип2Вес2,
IF(ТипУчастника=3,ФП08*Тип3Вес3
)))</f>
        <v>-667</v>
      </c>
      <c r="L16" s="69"/>
      <c r="M16" s="70">
        <f>IFERROR(IF(ТипУчастника=1,Стр1300пр/Стр1700пр,"–//–"),-1000)</f>
        <v>-1000</v>
      </c>
      <c r="N16" s="71">
        <f>IF(ТипУчастника=1,ФП08пр*Тип1Вес1,"–//–")</f>
        <v>-333</v>
      </c>
      <c r="O16" s="69"/>
      <c r="P16" s="72">
        <f>IF(ТипУчастника=1,ROUND(ФП08Коэф+ФП08прКоэф,Округл2),ROUND(ФП08Коэф,Округл2))</f>
        <v>-1000</v>
      </c>
      <c r="Q16" s="69"/>
      <c r="R16" s="73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6" t="s">
        <v>93</v>
      </c>
    </row>
    <row r="17" spans="2:19" s="69" customFormat="1" ht="45" customHeight="1" x14ac:dyDescent="0.3">
      <c r="B17" s="116" t="s">
        <v>53</v>
      </c>
      <c r="C17" s="117" t="s">
        <v>115</v>
      </c>
      <c r="D17" s="158"/>
      <c r="E17" s="158"/>
      <c r="F17" s="158"/>
      <c r="G17" s="158"/>
      <c r="H17" s="118"/>
      <c r="J17" s="70">
        <f>IFERROR(IF(ИзмББ=1,(ЦЕНА/1000)/Стр2110,(ЦЕНА/1000000)/Стр2110),1000)</f>
        <v>1000</v>
      </c>
      <c r="K17" s="71">
        <f xml:space="preserve">
IF(ТипУчастника=1,ФП09*Тип1Вес2,
IF(ТипУчастника=2,ФП09*Тип2Вес2,
IF(ТипУчастника=3,ФП09*Тип3Вес3
)))</f>
        <v>667</v>
      </c>
      <c r="M17" s="70">
        <f>IFERROR(IF(AND(ТипУчастника=1,ИзмББ=1),(ЦЕНА/1000)/Стр2110пр,IF(AND(ТипУчастника=1,ИзмББ=2),(ЦЕНА/1000000)/Стр2110пр,"–//–")),1000)</f>
        <v>1000</v>
      </c>
      <c r="N17" s="71">
        <f>IF(ТипУчастника=1,ФП09пр*Тип1Вес1,"–//–")</f>
        <v>333</v>
      </c>
      <c r="P17" s="72">
        <f>IF(ТипУчастника=1,ROUND(ФП09Коэф+ФП09прКоэф,Округл2),ROUND(ФП09Коэф,Округл2))</f>
        <v>1000</v>
      </c>
      <c r="R17" s="73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6" t="s">
        <v>94</v>
      </c>
    </row>
    <row r="18" spans="2:19" s="69" customFormat="1" ht="45" customHeight="1" thickBot="1" x14ac:dyDescent="0.35">
      <c r="B18" s="119" t="s">
        <v>54</v>
      </c>
      <c r="C18" s="120" t="s">
        <v>116</v>
      </c>
      <c r="D18" s="157"/>
      <c r="E18" s="157"/>
      <c r="F18" s="157"/>
      <c r="G18" s="157"/>
      <c r="H18" s="121"/>
      <c r="J18" s="74">
        <f>IFERROR(IF(ИзмББ=1,(ЦЕНА/1000)/Стр1600,(ЦЕНА/1000000)/Стр1600),1000)</f>
        <v>1000</v>
      </c>
      <c r="K18" s="75">
        <f xml:space="preserve">
IF(ТипУчастника=1,ФП10*Тип1Вес2,
IF(ТипУчастника=2,ФП10*Тип2Вес2,
IF(ТипУчастника=3,ФП10*Тип3Вес3
)))</f>
        <v>667</v>
      </c>
      <c r="M18" s="74">
        <f>IFERROR(IF(AND(ТипУчастника=1,ИзмББ=1),(ЦЕНА/1000)/Стр1600пр,IF(AND(ТипУчастника=1,ИзмББ=2),(ЦЕНА/1000000)/Стр1600пр,"–//–")),1000)</f>
        <v>1000</v>
      </c>
      <c r="N18" s="75">
        <f>IF(ТипУчастника=1,ФП10пр*Тип1Вес1,"–//–")</f>
        <v>333</v>
      </c>
      <c r="P18" s="76">
        <f>IF(ТипУчастника=1,ROUND(ФП10Коэф+ФП10прКоэф,Округл2),ROUND(ФП10Коэф,Округл2))</f>
        <v>1000</v>
      </c>
      <c r="R18" s="77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6" t="s">
        <v>95</v>
      </c>
    </row>
  </sheetData>
  <sheetProtection algorithmName="SHA-512" hashValue="ZZDLfU6p3nW5gjcP0skEkk2lMOpTiiidSz6+QWzaXtWduXzGWcH/RFysZSm99oyn4OMtPjswNJpDWQpROKl3fA==" saltValue="gvYv3GWBQmJilq0VjCNSWQ==" spinCount="100000" sheet="1" objects="1" scenarios="1" formatCells="0" formatColumns="0" formatRows="0"/>
  <mergeCells count="19">
    <mergeCell ref="J7:K7"/>
    <mergeCell ref="R7:R8"/>
    <mergeCell ref="B5:D5"/>
    <mergeCell ref="M7:N7"/>
    <mergeCell ref="P7:P8"/>
    <mergeCell ref="B7:B8"/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count="1">
    <dataValidation type="whole" allowBlank="1" showInputMessage="1" showErrorMessage="1" sqref="N2:N4" xr:uid="{00000000-0002-0000-0100-000000000000}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13"/>
  <sheetViews>
    <sheetView showGridLines="0" zoomScale="87" zoomScaleNormal="87" workbookViewId="0">
      <selection activeCell="K8" sqref="K8"/>
    </sheetView>
  </sheetViews>
  <sheetFormatPr defaultRowHeight="14.4" x14ac:dyDescent="0.3"/>
  <cols>
    <col min="1" max="1" width="3.6640625" customWidth="1"/>
    <col min="2" max="2" width="55.6640625" customWidth="1"/>
    <col min="3" max="3" width="7.6640625" customWidth="1"/>
    <col min="4" max="33" width="7.6640625" style="22" customWidth="1"/>
    <col min="34" max="34" width="3.6640625" style="80" customWidth="1"/>
  </cols>
  <sheetData>
    <row r="1" spans="1:34" ht="18.600000000000001" thickBot="1" x14ac:dyDescent="0.4">
      <c r="B1" s="79"/>
    </row>
    <row r="2" spans="1:34" ht="50.1" customHeight="1" thickBot="1" x14ac:dyDescent="0.35">
      <c r="A2" s="137"/>
      <c r="B2" s="109" t="s">
        <v>65</v>
      </c>
      <c r="C2" s="181">
        <v>0</v>
      </c>
      <c r="D2" s="182"/>
      <c r="E2" s="183">
        <v>0.1</v>
      </c>
      <c r="F2" s="184"/>
      <c r="G2" s="182"/>
      <c r="H2" s="183">
        <v>0.2</v>
      </c>
      <c r="I2" s="184"/>
      <c r="J2" s="182"/>
      <c r="K2" s="183">
        <v>0.3</v>
      </c>
      <c r="L2" s="184"/>
      <c r="M2" s="182"/>
      <c r="N2" s="183">
        <v>0.4</v>
      </c>
      <c r="O2" s="184"/>
      <c r="P2" s="182"/>
      <c r="Q2" s="176">
        <v>0.5</v>
      </c>
      <c r="R2" s="177"/>
      <c r="S2" s="178"/>
      <c r="T2" s="176">
        <v>0.6</v>
      </c>
      <c r="U2" s="177"/>
      <c r="V2" s="178"/>
      <c r="W2" s="176">
        <v>0.7</v>
      </c>
      <c r="X2" s="177"/>
      <c r="Y2" s="178"/>
      <c r="Z2" s="176">
        <v>0.8</v>
      </c>
      <c r="AA2" s="177"/>
      <c r="AB2" s="178"/>
      <c r="AC2" s="176">
        <v>0.9</v>
      </c>
      <c r="AD2" s="177"/>
      <c r="AE2" s="178"/>
      <c r="AF2" s="179">
        <v>1</v>
      </c>
      <c r="AG2" s="180"/>
    </row>
    <row r="3" spans="1:34" ht="39.9" customHeight="1" x14ac:dyDescent="0.3">
      <c r="A3" s="138" t="s">
        <v>86</v>
      </c>
      <c r="B3" s="86" t="s">
        <v>32</v>
      </c>
      <c r="C3" s="97" t="s">
        <v>57</v>
      </c>
      <c r="D3" s="122">
        <v>100.5</v>
      </c>
      <c r="E3" s="89">
        <v>100</v>
      </c>
      <c r="F3" s="100" t="s">
        <v>58</v>
      </c>
      <c r="G3" s="122">
        <v>100.5</v>
      </c>
      <c r="H3" s="89">
        <v>99.5</v>
      </c>
      <c r="I3" s="100" t="s">
        <v>58</v>
      </c>
      <c r="J3" s="122">
        <v>100</v>
      </c>
      <c r="K3" s="123">
        <v>98.5</v>
      </c>
      <c r="L3" s="100" t="s">
        <v>58</v>
      </c>
      <c r="M3" s="124">
        <v>99.5</v>
      </c>
      <c r="N3" s="123">
        <v>98</v>
      </c>
      <c r="O3" s="100" t="s">
        <v>58</v>
      </c>
      <c r="P3" s="124">
        <v>98.5</v>
      </c>
      <c r="Q3" s="23">
        <v>96</v>
      </c>
      <c r="R3" s="103" t="s">
        <v>58</v>
      </c>
      <c r="S3" s="24">
        <v>98</v>
      </c>
      <c r="T3" s="23">
        <v>94</v>
      </c>
      <c r="U3" s="103" t="s">
        <v>58</v>
      </c>
      <c r="V3" s="24">
        <v>96</v>
      </c>
      <c r="W3" s="23">
        <v>92</v>
      </c>
      <c r="X3" s="103" t="s">
        <v>58</v>
      </c>
      <c r="Y3" s="24">
        <v>94</v>
      </c>
      <c r="Z3" s="23">
        <v>90</v>
      </c>
      <c r="AA3" s="103" t="s">
        <v>58</v>
      </c>
      <c r="AB3" s="24">
        <v>92</v>
      </c>
      <c r="AC3" s="23">
        <v>83</v>
      </c>
      <c r="AD3" s="103" t="s">
        <v>58</v>
      </c>
      <c r="AE3" s="24">
        <v>90</v>
      </c>
      <c r="AF3" s="106" t="s">
        <v>62</v>
      </c>
      <c r="AG3" s="33">
        <v>83</v>
      </c>
      <c r="AH3" s="81"/>
    </row>
    <row r="4" spans="1:34" ht="39.9" customHeight="1" x14ac:dyDescent="0.3">
      <c r="A4" s="138" t="s">
        <v>87</v>
      </c>
      <c r="B4" s="87" t="s">
        <v>33</v>
      </c>
      <c r="C4" s="98" t="s">
        <v>59</v>
      </c>
      <c r="D4" s="90">
        <v>-10</v>
      </c>
      <c r="E4" s="91">
        <v>-10</v>
      </c>
      <c r="F4" s="101" t="s">
        <v>60</v>
      </c>
      <c r="G4" s="90">
        <v>-7</v>
      </c>
      <c r="H4" s="91">
        <v>-7</v>
      </c>
      <c r="I4" s="101" t="s">
        <v>60</v>
      </c>
      <c r="J4" s="90">
        <v>-3</v>
      </c>
      <c r="K4" s="125">
        <v>-3</v>
      </c>
      <c r="L4" s="101" t="s">
        <v>60</v>
      </c>
      <c r="M4" s="126">
        <v>0</v>
      </c>
      <c r="N4" s="125">
        <v>0</v>
      </c>
      <c r="O4" s="101" t="s">
        <v>60</v>
      </c>
      <c r="P4" s="126">
        <v>3</v>
      </c>
      <c r="Q4" s="25">
        <v>3</v>
      </c>
      <c r="R4" s="104" t="s">
        <v>60</v>
      </c>
      <c r="S4" s="26">
        <v>7</v>
      </c>
      <c r="T4" s="25">
        <v>7</v>
      </c>
      <c r="U4" s="104" t="s">
        <v>60</v>
      </c>
      <c r="V4" s="26">
        <v>10</v>
      </c>
      <c r="W4" s="25">
        <v>10</v>
      </c>
      <c r="X4" s="104" t="s">
        <v>60</v>
      </c>
      <c r="Y4" s="26">
        <v>13</v>
      </c>
      <c r="Z4" s="25">
        <v>13</v>
      </c>
      <c r="AA4" s="104" t="s">
        <v>60</v>
      </c>
      <c r="AB4" s="26">
        <v>17</v>
      </c>
      <c r="AC4" s="25">
        <v>17</v>
      </c>
      <c r="AD4" s="104" t="s">
        <v>60</v>
      </c>
      <c r="AE4" s="26">
        <v>20</v>
      </c>
      <c r="AF4" s="107" t="s">
        <v>61</v>
      </c>
      <c r="AG4" s="34">
        <v>20</v>
      </c>
    </row>
    <row r="5" spans="1:34" ht="39.9" customHeight="1" x14ac:dyDescent="0.3">
      <c r="A5" s="138" t="s">
        <v>88</v>
      </c>
      <c r="B5" s="87" t="s">
        <v>34</v>
      </c>
      <c r="C5" s="98" t="s">
        <v>57</v>
      </c>
      <c r="D5" s="92">
        <v>11</v>
      </c>
      <c r="E5" s="93">
        <v>10</v>
      </c>
      <c r="F5" s="101" t="s">
        <v>58</v>
      </c>
      <c r="G5" s="92">
        <v>11</v>
      </c>
      <c r="H5" s="93">
        <v>9</v>
      </c>
      <c r="I5" s="101" t="s">
        <v>58</v>
      </c>
      <c r="J5" s="92">
        <v>10</v>
      </c>
      <c r="K5" s="127">
        <v>8</v>
      </c>
      <c r="L5" s="101" t="s">
        <v>58</v>
      </c>
      <c r="M5" s="128">
        <v>9</v>
      </c>
      <c r="N5" s="127">
        <v>7</v>
      </c>
      <c r="O5" s="101" t="s">
        <v>58</v>
      </c>
      <c r="P5" s="128">
        <v>8</v>
      </c>
      <c r="Q5" s="27">
        <v>6</v>
      </c>
      <c r="R5" s="104" t="s">
        <v>58</v>
      </c>
      <c r="S5" s="28">
        <v>7</v>
      </c>
      <c r="T5" s="27">
        <v>5</v>
      </c>
      <c r="U5" s="104" t="s">
        <v>58</v>
      </c>
      <c r="V5" s="28">
        <v>6</v>
      </c>
      <c r="W5" s="27">
        <v>4</v>
      </c>
      <c r="X5" s="104" t="s">
        <v>58</v>
      </c>
      <c r="Y5" s="28">
        <v>5</v>
      </c>
      <c r="Z5" s="27">
        <v>3</v>
      </c>
      <c r="AA5" s="104" t="s">
        <v>58</v>
      </c>
      <c r="AB5" s="28">
        <v>4</v>
      </c>
      <c r="AC5" s="27">
        <v>2</v>
      </c>
      <c r="AD5" s="104" t="s">
        <v>58</v>
      </c>
      <c r="AE5" s="28">
        <v>3</v>
      </c>
      <c r="AF5" s="107" t="s">
        <v>62</v>
      </c>
      <c r="AG5" s="35">
        <v>2</v>
      </c>
    </row>
    <row r="6" spans="1:34" ht="39.9" customHeight="1" x14ac:dyDescent="0.3">
      <c r="A6" s="138" t="s">
        <v>89</v>
      </c>
      <c r="B6" s="87" t="s">
        <v>35</v>
      </c>
      <c r="C6" s="98" t="s">
        <v>57</v>
      </c>
      <c r="D6" s="92">
        <v>195</v>
      </c>
      <c r="E6" s="93">
        <v>180</v>
      </c>
      <c r="F6" s="101" t="s">
        <v>58</v>
      </c>
      <c r="G6" s="92">
        <v>195</v>
      </c>
      <c r="H6" s="93">
        <v>165</v>
      </c>
      <c r="I6" s="101" t="s">
        <v>58</v>
      </c>
      <c r="J6" s="92">
        <v>180</v>
      </c>
      <c r="K6" s="127">
        <v>150</v>
      </c>
      <c r="L6" s="101" t="s">
        <v>58</v>
      </c>
      <c r="M6" s="128">
        <v>165</v>
      </c>
      <c r="N6" s="127">
        <v>135</v>
      </c>
      <c r="O6" s="101" t="s">
        <v>58</v>
      </c>
      <c r="P6" s="128">
        <v>150</v>
      </c>
      <c r="Q6" s="27">
        <v>120</v>
      </c>
      <c r="R6" s="104" t="s">
        <v>58</v>
      </c>
      <c r="S6" s="28">
        <v>135</v>
      </c>
      <c r="T6" s="27">
        <v>105</v>
      </c>
      <c r="U6" s="104" t="s">
        <v>58</v>
      </c>
      <c r="V6" s="28">
        <v>120</v>
      </c>
      <c r="W6" s="27">
        <v>90</v>
      </c>
      <c r="X6" s="104" t="s">
        <v>58</v>
      </c>
      <c r="Y6" s="28">
        <v>105</v>
      </c>
      <c r="Z6" s="27">
        <v>75</v>
      </c>
      <c r="AA6" s="104" t="s">
        <v>58</v>
      </c>
      <c r="AB6" s="28">
        <v>90</v>
      </c>
      <c r="AC6" s="27">
        <v>60</v>
      </c>
      <c r="AD6" s="104" t="s">
        <v>58</v>
      </c>
      <c r="AE6" s="28">
        <v>75</v>
      </c>
      <c r="AF6" s="107" t="s">
        <v>62</v>
      </c>
      <c r="AG6" s="35">
        <v>60</v>
      </c>
      <c r="AH6" s="81"/>
    </row>
    <row r="7" spans="1:34" ht="39.9" customHeight="1" x14ac:dyDescent="0.3">
      <c r="A7" s="138" t="s">
        <v>90</v>
      </c>
      <c r="B7" s="87" t="s">
        <v>36</v>
      </c>
      <c r="C7" s="98" t="s">
        <v>57</v>
      </c>
      <c r="D7" s="92">
        <v>195</v>
      </c>
      <c r="E7" s="93">
        <v>180</v>
      </c>
      <c r="F7" s="101" t="s">
        <v>58</v>
      </c>
      <c r="G7" s="92">
        <v>195</v>
      </c>
      <c r="H7" s="93">
        <v>165</v>
      </c>
      <c r="I7" s="101" t="s">
        <v>58</v>
      </c>
      <c r="J7" s="92">
        <v>180</v>
      </c>
      <c r="K7" s="127">
        <v>150</v>
      </c>
      <c r="L7" s="101" t="s">
        <v>58</v>
      </c>
      <c r="M7" s="128">
        <v>165</v>
      </c>
      <c r="N7" s="127">
        <v>135</v>
      </c>
      <c r="O7" s="101" t="s">
        <v>58</v>
      </c>
      <c r="P7" s="128">
        <v>150</v>
      </c>
      <c r="Q7" s="27">
        <v>120</v>
      </c>
      <c r="R7" s="104" t="s">
        <v>58</v>
      </c>
      <c r="S7" s="28">
        <v>135</v>
      </c>
      <c r="T7" s="27">
        <v>105</v>
      </c>
      <c r="U7" s="104" t="s">
        <v>58</v>
      </c>
      <c r="V7" s="28">
        <v>120</v>
      </c>
      <c r="W7" s="27">
        <v>90</v>
      </c>
      <c r="X7" s="104" t="s">
        <v>58</v>
      </c>
      <c r="Y7" s="28">
        <v>105</v>
      </c>
      <c r="Z7" s="27">
        <v>75</v>
      </c>
      <c r="AA7" s="104" t="s">
        <v>58</v>
      </c>
      <c r="AB7" s="28">
        <v>90</v>
      </c>
      <c r="AC7" s="27">
        <v>60</v>
      </c>
      <c r="AD7" s="104" t="s">
        <v>58</v>
      </c>
      <c r="AE7" s="28">
        <v>75</v>
      </c>
      <c r="AF7" s="107" t="s">
        <v>62</v>
      </c>
      <c r="AG7" s="35">
        <v>60</v>
      </c>
      <c r="AH7" s="81"/>
    </row>
    <row r="8" spans="1:34" ht="39.9" customHeight="1" x14ac:dyDescent="0.3">
      <c r="A8" s="138" t="s">
        <v>91</v>
      </c>
      <c r="B8" s="87" t="s">
        <v>37</v>
      </c>
      <c r="C8" s="98" t="s">
        <v>63</v>
      </c>
      <c r="D8" s="94">
        <v>0.03</v>
      </c>
      <c r="E8" s="95">
        <v>0.03</v>
      </c>
      <c r="F8" s="101" t="s">
        <v>60</v>
      </c>
      <c r="G8" s="94">
        <v>0.04</v>
      </c>
      <c r="H8" s="95">
        <v>0.04</v>
      </c>
      <c r="I8" s="101" t="s">
        <v>60</v>
      </c>
      <c r="J8" s="94">
        <v>0.05</v>
      </c>
      <c r="K8" s="129">
        <v>0.05</v>
      </c>
      <c r="L8" s="101" t="s">
        <v>60</v>
      </c>
      <c r="M8" s="130">
        <v>0.06</v>
      </c>
      <c r="N8" s="129">
        <v>0.06</v>
      </c>
      <c r="O8" s="101" t="s">
        <v>60</v>
      </c>
      <c r="P8" s="130">
        <v>7.0000000000000007E-2</v>
      </c>
      <c r="Q8" s="29">
        <v>7.0000000000000007E-2</v>
      </c>
      <c r="R8" s="104" t="s">
        <v>60</v>
      </c>
      <c r="S8" s="30">
        <v>0.09</v>
      </c>
      <c r="T8" s="29">
        <v>0.09</v>
      </c>
      <c r="U8" s="104" t="s">
        <v>60</v>
      </c>
      <c r="V8" s="30">
        <v>0.1</v>
      </c>
      <c r="W8" s="29">
        <v>0.1</v>
      </c>
      <c r="X8" s="104" t="s">
        <v>60</v>
      </c>
      <c r="Y8" s="30">
        <v>0.13</v>
      </c>
      <c r="Z8" s="29">
        <v>0.13</v>
      </c>
      <c r="AA8" s="104" t="s">
        <v>60</v>
      </c>
      <c r="AB8" s="30">
        <v>0.17</v>
      </c>
      <c r="AC8" s="29">
        <v>0.17</v>
      </c>
      <c r="AD8" s="104" t="s">
        <v>60</v>
      </c>
      <c r="AE8" s="30">
        <v>0.2</v>
      </c>
      <c r="AF8" s="107" t="s">
        <v>61</v>
      </c>
      <c r="AG8" s="36">
        <v>0.2</v>
      </c>
    </row>
    <row r="9" spans="1:34" ht="39.9" customHeight="1" x14ac:dyDescent="0.3">
      <c r="A9" s="138" t="s">
        <v>92</v>
      </c>
      <c r="B9" s="87" t="s">
        <v>38</v>
      </c>
      <c r="C9" s="98" t="s">
        <v>57</v>
      </c>
      <c r="D9" s="90">
        <v>1.7</v>
      </c>
      <c r="E9" s="91">
        <v>1.6</v>
      </c>
      <c r="F9" s="101" t="s">
        <v>58</v>
      </c>
      <c r="G9" s="90">
        <v>1.7</v>
      </c>
      <c r="H9" s="91">
        <v>1.5</v>
      </c>
      <c r="I9" s="101" t="s">
        <v>58</v>
      </c>
      <c r="J9" s="90">
        <v>1.6</v>
      </c>
      <c r="K9" s="125">
        <v>1.4</v>
      </c>
      <c r="L9" s="101" t="s">
        <v>58</v>
      </c>
      <c r="M9" s="126">
        <v>1.5</v>
      </c>
      <c r="N9" s="125">
        <v>1.3</v>
      </c>
      <c r="O9" s="101" t="s">
        <v>58</v>
      </c>
      <c r="P9" s="126">
        <v>1.4</v>
      </c>
      <c r="Q9" s="25">
        <v>1.2</v>
      </c>
      <c r="R9" s="104" t="s">
        <v>58</v>
      </c>
      <c r="S9" s="26">
        <v>1.3</v>
      </c>
      <c r="T9" s="25">
        <v>1.1000000000000001</v>
      </c>
      <c r="U9" s="104" t="s">
        <v>58</v>
      </c>
      <c r="V9" s="26">
        <v>1.2</v>
      </c>
      <c r="W9" s="25">
        <v>1</v>
      </c>
      <c r="X9" s="104" t="s">
        <v>58</v>
      </c>
      <c r="Y9" s="26">
        <v>1.1000000000000001</v>
      </c>
      <c r="Z9" s="25">
        <v>0.9</v>
      </c>
      <c r="AA9" s="104" t="s">
        <v>58</v>
      </c>
      <c r="AB9" s="26">
        <v>1</v>
      </c>
      <c r="AC9" s="25">
        <v>0.8</v>
      </c>
      <c r="AD9" s="104" t="s">
        <v>58</v>
      </c>
      <c r="AE9" s="26">
        <v>0.9</v>
      </c>
      <c r="AF9" s="107" t="s">
        <v>64</v>
      </c>
      <c r="AG9" s="34">
        <v>0.8</v>
      </c>
    </row>
    <row r="10" spans="1:34" ht="39.9" customHeight="1" x14ac:dyDescent="0.3">
      <c r="A10" s="138" t="s">
        <v>93</v>
      </c>
      <c r="B10" s="87" t="s">
        <v>39</v>
      </c>
      <c r="C10" s="98" t="s">
        <v>59</v>
      </c>
      <c r="D10" s="94">
        <v>-0.05</v>
      </c>
      <c r="E10" s="95">
        <v>-0.05</v>
      </c>
      <c r="F10" s="101" t="s">
        <v>60</v>
      </c>
      <c r="G10" s="94">
        <v>0</v>
      </c>
      <c r="H10" s="95">
        <v>0</v>
      </c>
      <c r="I10" s="101" t="s">
        <v>60</v>
      </c>
      <c r="J10" s="94">
        <v>0.05</v>
      </c>
      <c r="K10" s="129">
        <v>0.05</v>
      </c>
      <c r="L10" s="101" t="s">
        <v>60</v>
      </c>
      <c r="M10" s="130">
        <v>0.1</v>
      </c>
      <c r="N10" s="129">
        <v>0.1</v>
      </c>
      <c r="O10" s="101" t="s">
        <v>60</v>
      </c>
      <c r="P10" s="130">
        <v>0.15</v>
      </c>
      <c r="Q10" s="29">
        <v>0.15</v>
      </c>
      <c r="R10" s="104" t="s">
        <v>60</v>
      </c>
      <c r="S10" s="30">
        <v>0.2</v>
      </c>
      <c r="T10" s="29">
        <v>0.2</v>
      </c>
      <c r="U10" s="104" t="s">
        <v>60</v>
      </c>
      <c r="V10" s="30">
        <v>0.25</v>
      </c>
      <c r="W10" s="29">
        <v>0.25</v>
      </c>
      <c r="X10" s="104" t="s">
        <v>60</v>
      </c>
      <c r="Y10" s="30">
        <v>0.27</v>
      </c>
      <c r="Z10" s="29">
        <v>0.27</v>
      </c>
      <c r="AA10" s="104" t="s">
        <v>60</v>
      </c>
      <c r="AB10" s="30">
        <v>0.3</v>
      </c>
      <c r="AC10" s="29">
        <v>0.3</v>
      </c>
      <c r="AD10" s="104" t="s">
        <v>60</v>
      </c>
      <c r="AE10" s="30">
        <v>0.33</v>
      </c>
      <c r="AF10" s="107" t="s">
        <v>61</v>
      </c>
      <c r="AG10" s="36">
        <v>0.33</v>
      </c>
      <c r="AH10" s="81"/>
    </row>
    <row r="11" spans="1:34" ht="39.9" customHeight="1" x14ac:dyDescent="0.3">
      <c r="A11" s="138" t="s">
        <v>94</v>
      </c>
      <c r="B11" s="87" t="s">
        <v>40</v>
      </c>
      <c r="C11" s="98" t="s">
        <v>57</v>
      </c>
      <c r="D11" s="94">
        <v>0.9</v>
      </c>
      <c r="E11" s="95">
        <v>0.8</v>
      </c>
      <c r="F11" s="101" t="s">
        <v>58</v>
      </c>
      <c r="G11" s="94">
        <v>0.9</v>
      </c>
      <c r="H11" s="95">
        <v>0.7</v>
      </c>
      <c r="I11" s="101" t="s">
        <v>58</v>
      </c>
      <c r="J11" s="94">
        <v>0.8</v>
      </c>
      <c r="K11" s="129">
        <v>0.6</v>
      </c>
      <c r="L11" s="101" t="s">
        <v>58</v>
      </c>
      <c r="M11" s="130">
        <v>0.7</v>
      </c>
      <c r="N11" s="129">
        <v>0.5</v>
      </c>
      <c r="O11" s="101" t="s">
        <v>58</v>
      </c>
      <c r="P11" s="130">
        <v>0.6</v>
      </c>
      <c r="Q11" s="29">
        <v>0.4</v>
      </c>
      <c r="R11" s="104" t="s">
        <v>58</v>
      </c>
      <c r="S11" s="30">
        <v>0.5</v>
      </c>
      <c r="T11" s="29">
        <v>0.3</v>
      </c>
      <c r="U11" s="104" t="s">
        <v>58</v>
      </c>
      <c r="V11" s="30">
        <v>0.4</v>
      </c>
      <c r="W11" s="29">
        <v>0.25</v>
      </c>
      <c r="X11" s="104" t="s">
        <v>58</v>
      </c>
      <c r="Y11" s="30">
        <v>0.3</v>
      </c>
      <c r="Z11" s="29">
        <v>0.2</v>
      </c>
      <c r="AA11" s="104" t="s">
        <v>58</v>
      </c>
      <c r="AB11" s="30">
        <v>0.25</v>
      </c>
      <c r="AC11" s="29">
        <v>0.15</v>
      </c>
      <c r="AD11" s="104" t="s">
        <v>58</v>
      </c>
      <c r="AE11" s="30">
        <v>0.2</v>
      </c>
      <c r="AF11" s="107" t="s">
        <v>64</v>
      </c>
      <c r="AG11" s="36">
        <v>0.15</v>
      </c>
      <c r="AH11" s="81"/>
    </row>
    <row r="12" spans="1:34" ht="39.9" customHeight="1" thickBot="1" x14ac:dyDescent="0.35">
      <c r="A12" s="138" t="s">
        <v>95</v>
      </c>
      <c r="B12" s="88" t="s">
        <v>41</v>
      </c>
      <c r="C12" s="99" t="s">
        <v>57</v>
      </c>
      <c r="D12" s="131">
        <v>1.8</v>
      </c>
      <c r="E12" s="96">
        <v>1.6</v>
      </c>
      <c r="F12" s="102" t="s">
        <v>58</v>
      </c>
      <c r="G12" s="131">
        <v>1.8</v>
      </c>
      <c r="H12" s="96">
        <v>1.4</v>
      </c>
      <c r="I12" s="102" t="s">
        <v>58</v>
      </c>
      <c r="J12" s="131">
        <v>1.6</v>
      </c>
      <c r="K12" s="132">
        <v>1.2</v>
      </c>
      <c r="L12" s="102" t="s">
        <v>58</v>
      </c>
      <c r="M12" s="133">
        <v>1.4</v>
      </c>
      <c r="N12" s="132">
        <v>1</v>
      </c>
      <c r="O12" s="102" t="s">
        <v>58</v>
      </c>
      <c r="P12" s="133">
        <v>1.2</v>
      </c>
      <c r="Q12" s="31">
        <v>0.8</v>
      </c>
      <c r="R12" s="105" t="s">
        <v>58</v>
      </c>
      <c r="S12" s="32">
        <v>1</v>
      </c>
      <c r="T12" s="31">
        <v>0.6</v>
      </c>
      <c r="U12" s="105" t="s">
        <v>58</v>
      </c>
      <c r="V12" s="32">
        <v>0.8</v>
      </c>
      <c r="W12" s="31">
        <v>0.5</v>
      </c>
      <c r="X12" s="105" t="s">
        <v>58</v>
      </c>
      <c r="Y12" s="32">
        <v>0.6</v>
      </c>
      <c r="Z12" s="31">
        <v>0.4</v>
      </c>
      <c r="AA12" s="105" t="s">
        <v>58</v>
      </c>
      <c r="AB12" s="32">
        <v>0.5</v>
      </c>
      <c r="AC12" s="31">
        <v>0.3</v>
      </c>
      <c r="AD12" s="105" t="s">
        <v>58</v>
      </c>
      <c r="AE12" s="32">
        <v>0.4</v>
      </c>
      <c r="AF12" s="108" t="s">
        <v>64</v>
      </c>
      <c r="AG12" s="37">
        <v>0.3</v>
      </c>
      <c r="AH12" s="81"/>
    </row>
    <row r="13" spans="1:34" x14ac:dyDescent="0.3">
      <c r="B13" s="137"/>
      <c r="C13" s="139"/>
      <c r="D13" s="139" t="s">
        <v>66</v>
      </c>
      <c r="E13" s="139" t="s">
        <v>67</v>
      </c>
      <c r="F13" s="139"/>
      <c r="G13" s="139" t="s">
        <v>68</v>
      </c>
      <c r="H13" s="139" t="s">
        <v>69</v>
      </c>
      <c r="I13" s="139"/>
      <c r="J13" s="139" t="s">
        <v>70</v>
      </c>
      <c r="K13" s="139" t="s">
        <v>71</v>
      </c>
      <c r="L13" s="139"/>
      <c r="M13" s="139" t="s">
        <v>72</v>
      </c>
      <c r="N13" s="139" t="s">
        <v>73</v>
      </c>
      <c r="O13" s="139"/>
      <c r="P13" s="139" t="s">
        <v>74</v>
      </c>
      <c r="Q13" s="139" t="s">
        <v>75</v>
      </c>
      <c r="R13" s="139"/>
      <c r="S13" s="139" t="s">
        <v>76</v>
      </c>
      <c r="T13" s="139" t="s">
        <v>77</v>
      </c>
      <c r="U13" s="139"/>
      <c r="V13" s="139" t="s">
        <v>78</v>
      </c>
      <c r="W13" s="139" t="s">
        <v>79</v>
      </c>
      <c r="X13" s="139"/>
      <c r="Y13" s="139" t="s">
        <v>80</v>
      </c>
      <c r="Z13" s="139" t="s">
        <v>81</v>
      </c>
      <c r="AA13" s="139"/>
      <c r="AB13" s="139" t="s">
        <v>82</v>
      </c>
      <c r="AC13" s="139" t="s">
        <v>83</v>
      </c>
      <c r="AD13" s="139"/>
      <c r="AE13" s="139" t="s">
        <v>84</v>
      </c>
      <c r="AF13" s="139"/>
      <c r="AG13" s="139" t="s">
        <v>85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Q2:S2"/>
    <mergeCell ref="C2:D2"/>
    <mergeCell ref="E2:G2"/>
    <mergeCell ref="H2:J2"/>
    <mergeCell ref="K2:M2"/>
    <mergeCell ref="N2:P2"/>
    <mergeCell ref="T2:V2"/>
    <mergeCell ref="W2:Y2"/>
    <mergeCell ref="Z2:AB2"/>
    <mergeCell ref="AC2:AE2"/>
    <mergeCell ref="AF2:AG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320</vt:i4>
      </vt:variant>
    </vt:vector>
  </HeadingPairs>
  <TitlesOfParts>
    <vt:vector size="323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Стр1240</vt:lpstr>
      <vt:lpstr>Стр1240пр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Тип3Вес1</vt:lpstr>
      <vt:lpstr>Тип3Вес2</vt:lpstr>
      <vt:lpstr>Тип3Вес3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Иваненко Елена Сергеевна</cp:lastModifiedBy>
  <cp:lastPrinted>2017-12-15T05:48:05Z</cp:lastPrinted>
  <dcterms:created xsi:type="dcterms:W3CDTF">2017-07-24T12:59:39Z</dcterms:created>
  <dcterms:modified xsi:type="dcterms:W3CDTF">2020-02-12T14:14:21Z</dcterms:modified>
</cp:coreProperties>
</file>