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87302 КРДВ ТОР Михайловский\Приложение 3 смета\"/>
    </mc:Choice>
  </mc:AlternateContent>
  <bookViews>
    <workbookView xWindow="0" yWindow="0" windowWidth="28800" windowHeight="12300"/>
  </bookViews>
  <sheets>
    <sheet name="Т" sheetId="7" r:id="rId1"/>
    <sheet name="МРСК" sheetId="1" r:id="rId2"/>
    <sheet name="09-01-01" sheetId="2" r:id="rId3"/>
    <sheet name="09-01-02" sheetId="3" r:id="rId4"/>
    <sheet name="09-02-01" sheetId="4" r:id="rId5"/>
    <sheet name="09-02-02" sheetId="5" r:id="rId6"/>
    <sheet name="09-02-03" sheetId="6" r:id="rId7"/>
  </sheets>
  <externalReferences>
    <externalReference r:id="rId8"/>
    <externalReference r:id="rId9"/>
  </externalReferences>
  <definedNames>
    <definedName name="GS" localSheetId="1">#REF!</definedName>
    <definedName name="GS" localSheetId="0">#REF!</definedName>
    <definedName name="GS">#REF!</definedName>
    <definedName name="Language">[1]Финплан!$J$1</definedName>
    <definedName name="_xlnm.Print_Titles" localSheetId="6">'09-02-03'!$15:$15</definedName>
    <definedName name="_xlnm.Print_Titles" localSheetId="0">Т!$13:$13</definedName>
    <definedName name="ИТ" localSheetId="1">[2]мсн!#REF!</definedName>
    <definedName name="ИТ" localSheetId="0">[2]мсн!#REF!</definedName>
    <definedName name="ИТ">[2]мсн!#REF!</definedName>
    <definedName name="ллл" localSheetId="1">[2]мсн!#REF!</definedName>
    <definedName name="ллл" localSheetId="0">[2]мсн!#REF!</definedName>
    <definedName name="ллл">[2]мсн!#REF!</definedName>
    <definedName name="_xlnm.Print_Area" localSheetId="6">'09-02-03'!$A$1:$M$107</definedName>
    <definedName name="упр" localSheetId="1">[2]мсн!#REF!</definedName>
    <definedName name="упр" localSheetId="0">[2]мсн!#REF!</definedName>
    <definedName name="упр">[2]мсн!#REF!</definedName>
    <definedName name="финансирование" localSheetId="1">#REF!</definedName>
    <definedName name="финансирование" localSheetId="0">#REF!</definedName>
    <definedName name="финансирование">#REF!</definedName>
    <definedName name="юж" localSheetId="1">#REF!</definedName>
    <definedName name="юж" localSheetId="0">#REF!</definedName>
    <definedName name="юж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H28" i="7" s="1"/>
  <c r="G26" i="7"/>
  <c r="H26" i="7" s="1"/>
  <c r="F48" i="2"/>
  <c r="F48" i="4"/>
  <c r="H14" i="1"/>
  <c r="H15" i="1" s="1"/>
  <c r="I14" i="1"/>
  <c r="I15" i="1" s="1"/>
  <c r="I19" i="1" s="1"/>
  <c r="I17" i="1"/>
  <c r="K14" i="1"/>
  <c r="K17" i="1"/>
  <c r="H17" i="1"/>
  <c r="J19" i="1"/>
  <c r="J15" i="1"/>
  <c r="K15" i="1"/>
  <c r="K19" i="1" s="1"/>
  <c r="I18" i="1"/>
  <c r="J18" i="1"/>
  <c r="K18" i="1"/>
  <c r="H18" i="1"/>
  <c r="G17" i="1"/>
  <c r="G14" i="1"/>
  <c r="F17" i="1"/>
  <c r="F14" i="1"/>
  <c r="F31" i="7"/>
  <c r="H30" i="7"/>
  <c r="G37" i="7"/>
  <c r="F37" i="7"/>
  <c r="E37" i="7"/>
  <c r="D31" i="7"/>
  <c r="H19" i="7"/>
  <c r="G17" i="7"/>
  <c r="G21" i="7" s="1"/>
  <c r="G23" i="7" s="1"/>
  <c r="D17" i="7"/>
  <c r="D21" i="7" s="1"/>
  <c r="H19" i="1" l="1"/>
  <c r="D23" i="7"/>
  <c r="H34" i="7"/>
  <c r="D32" i="7" l="1"/>
  <c r="C70" i="6" l="1"/>
  <c r="C25" i="6"/>
  <c r="C19" i="6"/>
  <c r="C26" i="6" s="1"/>
  <c r="L23" i="6" s="1"/>
  <c r="C5" i="5"/>
  <c r="E33" i="4"/>
  <c r="E41" i="2"/>
  <c r="E33" i="2"/>
  <c r="C19" i="4"/>
  <c r="C12" i="4"/>
  <c r="C5" i="3"/>
  <c r="C19" i="2"/>
  <c r="C12" i="2"/>
  <c r="L89" i="6"/>
  <c r="L91" i="6" s="1"/>
  <c r="L93" i="6" s="1"/>
  <c r="C77" i="6"/>
  <c r="C76" i="6"/>
  <c r="C75" i="6"/>
  <c r="L73" i="6" s="1"/>
  <c r="C62" i="6"/>
  <c r="C61" i="6"/>
  <c r="C60" i="6"/>
  <c r="C59" i="6"/>
  <c r="C58" i="6"/>
  <c r="C56" i="6"/>
  <c r="C41" i="6"/>
  <c r="C40" i="6"/>
  <c r="C39" i="6"/>
  <c r="C33" i="6"/>
  <c r="C51" i="6" s="1"/>
  <c r="C57" i="6" s="1"/>
  <c r="F47" i="4"/>
  <c r="C28" i="4"/>
  <c r="E31" i="4" s="1"/>
  <c r="J26" i="5"/>
  <c r="J24" i="5"/>
  <c r="J22" i="5"/>
  <c r="J21" i="5"/>
  <c r="J17" i="5"/>
  <c r="J15" i="5"/>
  <c r="E14" i="5"/>
  <c r="J14" i="5" s="1"/>
  <c r="K14" i="5" s="1"/>
  <c r="E41" i="4"/>
  <c r="C41" i="4" s="1"/>
  <c r="A37" i="4"/>
  <c r="C33" i="4"/>
  <c r="C23" i="4"/>
  <c r="E22" i="4"/>
  <c r="C22" i="4" s="1"/>
  <c r="C14" i="4"/>
  <c r="C13" i="4"/>
  <c r="L37" i="6" l="1"/>
  <c r="C24" i="6"/>
  <c r="L22" i="6" s="1"/>
  <c r="L27" i="6" s="1"/>
  <c r="L29" i="6" s="1"/>
  <c r="C38" i="6"/>
  <c r="L36" i="6" s="1"/>
  <c r="L74" i="6"/>
  <c r="L79" i="6" s="1"/>
  <c r="L54" i="6"/>
  <c r="L55" i="6"/>
  <c r="E32" i="4"/>
  <c r="C32" i="4" s="1"/>
  <c r="C31" i="4"/>
  <c r="K19" i="5"/>
  <c r="K18" i="5"/>
  <c r="F26" i="4"/>
  <c r="F27" i="4" s="1"/>
  <c r="A27" i="4"/>
  <c r="E20" i="5"/>
  <c r="J20" i="5" s="1"/>
  <c r="K20" i="5" s="1"/>
  <c r="K27" i="5" s="1"/>
  <c r="C37" i="4"/>
  <c r="E40" i="4" s="1"/>
  <c r="C40" i="4" s="1"/>
  <c r="E15" i="4"/>
  <c r="C15" i="4" s="1"/>
  <c r="A18" i="4" s="1"/>
  <c r="L81" i="6" l="1"/>
  <c r="L84" i="6" s="1"/>
  <c r="L64" i="6"/>
  <c r="L66" i="6" s="1"/>
  <c r="L42" i="6"/>
  <c r="F17" i="4"/>
  <c r="F18" i="4" s="1"/>
  <c r="K28" i="5"/>
  <c r="K29" i="5" s="1"/>
  <c r="K30" i="5" s="1"/>
  <c r="G29" i="7" s="1"/>
  <c r="A44" i="4"/>
  <c r="F43" i="4"/>
  <c r="F44" i="4" s="1"/>
  <c r="A36" i="4"/>
  <c r="F35" i="4"/>
  <c r="F36" i="4" s="1"/>
  <c r="H29" i="7" l="1"/>
  <c r="L44" i="6"/>
  <c r="L47" i="6" s="1"/>
  <c r="L94" i="6" s="1"/>
  <c r="L95" i="6" s="1"/>
  <c r="L98" i="6" s="1"/>
  <c r="A45" i="4"/>
  <c r="F45" i="4"/>
  <c r="F46" i="4" s="1"/>
  <c r="F47" i="2" l="1"/>
  <c r="C28" i="2"/>
  <c r="J26" i="3" l="1"/>
  <c r="J24" i="3"/>
  <c r="J22" i="3"/>
  <c r="J21" i="3"/>
  <c r="E20" i="3"/>
  <c r="J20" i="3" s="1"/>
  <c r="J17" i="3"/>
  <c r="J15" i="3"/>
  <c r="E14" i="3"/>
  <c r="C41" i="2"/>
  <c r="A37" i="2"/>
  <c r="C33" i="2"/>
  <c r="E31" i="2"/>
  <c r="E32" i="2" s="1"/>
  <c r="C32" i="2" s="1"/>
  <c r="C31" i="2"/>
  <c r="C23" i="2"/>
  <c r="E22" i="2"/>
  <c r="C22" i="2" s="1"/>
  <c r="C14" i="2"/>
  <c r="C13" i="2"/>
  <c r="E15" i="2"/>
  <c r="C15" i="2" s="1"/>
  <c r="F17" i="2" s="1"/>
  <c r="K20" i="3" l="1"/>
  <c r="K27" i="3" s="1"/>
  <c r="J14" i="3"/>
  <c r="K14" i="3" s="1"/>
  <c r="K18" i="3" s="1"/>
  <c r="A36" i="2"/>
  <c r="A18" i="2"/>
  <c r="A27" i="2"/>
  <c r="F26" i="2"/>
  <c r="F27" i="2" s="1"/>
  <c r="F18" i="2"/>
  <c r="F35" i="2"/>
  <c r="F36" i="2" s="1"/>
  <c r="C37" i="2"/>
  <c r="E40" i="2" s="1"/>
  <c r="C40" i="2" s="1"/>
  <c r="E14" i="1"/>
  <c r="K19" i="3" l="1"/>
  <c r="K28" i="3" s="1"/>
  <c r="K29" i="3" s="1"/>
  <c r="K30" i="3" s="1"/>
  <c r="G27" i="7" s="1"/>
  <c r="A44" i="2"/>
  <c r="F43" i="2"/>
  <c r="F44" i="2" s="1"/>
  <c r="A45" i="2" s="1"/>
  <c r="J17" i="1"/>
  <c r="F15" i="7"/>
  <c r="H27" i="7" l="1"/>
  <c r="G31" i="7"/>
  <c r="G32" i="7" s="1"/>
  <c r="G38" i="7" s="1"/>
  <c r="G39" i="7" s="1"/>
  <c r="G40" i="7" s="1"/>
  <c r="F45" i="2"/>
  <c r="F46" i="2" s="1"/>
  <c r="L17" i="1"/>
  <c r="M17" i="1" s="1"/>
  <c r="M18" i="1" l="1"/>
  <c r="L18" i="1"/>
  <c r="E15" i="7"/>
  <c r="H15" i="7" l="1"/>
  <c r="K20" i="1"/>
  <c r="K21" i="1" s="1"/>
  <c r="J14" i="1"/>
  <c r="J20" i="1"/>
  <c r="J21" i="1" s="1"/>
  <c r="L14" i="1" l="1"/>
  <c r="M14" i="1" s="1"/>
  <c r="M15" i="1" s="1"/>
  <c r="M19" i="1" s="1"/>
  <c r="I20" i="1"/>
  <c r="I21" i="1" s="1"/>
  <c r="F16" i="7"/>
  <c r="H20" i="1"/>
  <c r="L20" i="1" s="1"/>
  <c r="E16" i="7"/>
  <c r="L15" i="1"/>
  <c r="L19" i="1" s="1"/>
  <c r="F17" i="7" l="1"/>
  <c r="F21" i="7" s="1"/>
  <c r="F23" i="7" s="1"/>
  <c r="F32" i="7" s="1"/>
  <c r="F38" i="7" s="1"/>
  <c r="F39" i="7" s="1"/>
  <c r="F40" i="7" s="1"/>
  <c r="H16" i="7"/>
  <c r="E17" i="7"/>
  <c r="M20" i="1"/>
  <c r="M21" i="1" s="1"/>
  <c r="D36" i="7"/>
  <c r="H21" i="1"/>
  <c r="L21" i="1" s="1"/>
  <c r="H36" i="7" l="1"/>
  <c r="D37" i="7"/>
  <c r="E31" i="7"/>
  <c r="E21" i="7"/>
  <c r="H17" i="7"/>
  <c r="H37" i="7" l="1"/>
  <c r="D38" i="7"/>
  <c r="H21" i="7"/>
  <c r="E23" i="7"/>
  <c r="H31" i="7"/>
  <c r="H25" i="7"/>
  <c r="D39" i="7" l="1"/>
  <c r="D40" i="7" s="1"/>
  <c r="E32" i="7"/>
  <c r="H23" i="7"/>
  <c r="E38" i="7" l="1"/>
  <c r="H32" i="7"/>
  <c r="E39" i="7" l="1"/>
  <c r="E40" i="7" s="1"/>
  <c r="H40" i="7" s="1"/>
  <c r="H38" i="7"/>
  <c r="H39" i="7" l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comments2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<sst xmlns="http://schemas.openxmlformats.org/spreadsheetml/2006/main" count="558" uniqueCount="279">
  <si>
    <t>1,013 - коэффициент учитывающий условия городской застройки</t>
  </si>
  <si>
    <t>-</t>
  </si>
  <si>
    <t>по п. 2.9.:</t>
  </si>
  <si>
    <t>2.2.</t>
  </si>
  <si>
    <t>1,018 - строительство вблизи объектов, находящихся под высоким напряжением, в т.ч. в охранной зоне действующей воздушной линии электропередач.</t>
  </si>
  <si>
    <t>1,013 - строительство в условиях городской и промышленной застройки;</t>
  </si>
  <si>
    <t>по п.2.9:</t>
  </si>
  <si>
    <t>3% - непредвиденные затраты (при согласовании с заказчиком до 10%)</t>
  </si>
  <si>
    <t>5,0-8,0% - прочие работы и затраты;</t>
  </si>
  <si>
    <t>2,6 - 3,18% - содержание службы заказчика-застройщика, строительный контроль;</t>
  </si>
  <si>
    <t>7,5-9,0% - проектно-изыскательские работы и авторский надзор;</t>
  </si>
  <si>
    <t>2,5-3,3% - временные здания и сооружения (при реконструкции и расширении применяется коэффициент 0,8);</t>
  </si>
  <si>
    <t>1,5% - благоустройство;</t>
  </si>
  <si>
    <t>К=((1,5+3,3+9+3,18+8+10)/100+1)*1,013=1,367</t>
  </si>
  <si>
    <t>по п.2.7:</t>
  </si>
  <si>
    <t>2.1.</t>
  </si>
  <si>
    <t>Для воздушных линий:</t>
  </si>
  <si>
    <t xml:space="preserve">2. </t>
  </si>
  <si>
    <t>К=1,8 - коээфициент, учитывающий прокладку каждой последующей трубы.</t>
  </si>
  <si>
    <t>по п.3,4</t>
  </si>
  <si>
    <t>2.3.</t>
  </si>
  <si>
    <t>1,022 - коэффициент учитывающий условия городской застройки</t>
  </si>
  <si>
    <t>по п. 3.7.:</t>
  </si>
  <si>
    <t>7,0 - 8,5% - прочие работы и затраты;</t>
  </si>
  <si>
    <t>7,5 - 8,5% - проектно-изыскательские работы и авторский надзор;</t>
  </si>
  <si>
    <t>3,9% - временные здания и сооружения (при реконструкции и расширении применяется коэффициент 0,8);</t>
  </si>
  <si>
    <t>1,0-4,0% - благоустройство;</t>
  </si>
  <si>
    <t>1,0-5,0% - подготовительные работы;</t>
  </si>
  <si>
    <t>К=((1+1+3,9+7,5+7+3)/100+1)=1,234</t>
  </si>
  <si>
    <t>по п.4.7:</t>
  </si>
  <si>
    <t>1.1.</t>
  </si>
  <si>
    <t>Для подстанций:</t>
  </si>
  <si>
    <t xml:space="preserve">1. </t>
  </si>
  <si>
    <t>Коэффициенты, учитывающие лимитированные затраты, условия производства работ, прочие затраты и т.д.:</t>
  </si>
  <si>
    <t>2.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</si>
  <si>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</si>
  <si>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</si>
  <si>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1.</t>
  </si>
  <si>
    <t>Примечания:</t>
  </si>
  <si>
    <t>Итого НДС 20 %</t>
  </si>
  <si>
    <t>Прочие, руб.</t>
  </si>
  <si>
    <t>Пусконаладочные работы, руб.</t>
  </si>
  <si>
    <t>Оборудование, приспособления и производственный инвентарь, руб.</t>
  </si>
  <si>
    <t>Строительно-монтажные работы, руб.</t>
  </si>
  <si>
    <t>ПИР</t>
  </si>
  <si>
    <t>Всего, руб.</t>
  </si>
  <si>
    <t>Стоимость в ценах 2001г, тыс.руб.</t>
  </si>
  <si>
    <t>Коэффициенты, учитывающие лимитированные затраты, условия производства работ, прочие затраты и т.д.</t>
  </si>
  <si>
    <t>Объем</t>
  </si>
  <si>
    <t>Цена за ед. объема, в ценах 2001г,  тыс.руб.</t>
  </si>
  <si>
    <t>Обоснование</t>
  </si>
  <si>
    <t>Наименование</t>
  </si>
  <si>
    <t>№ п.п.</t>
  </si>
  <si>
    <t xml:space="preserve">Расчет стоимости объектов по укрупненным показателям стоимости строительства линий электропередач </t>
  </si>
  <si>
    <t xml:space="preserve">в том числе:
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</si>
  <si>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</t>
  </si>
  <si>
    <t>Перевод в текущие  цены, 4 квартал 2020 г., осуществлен с учетом индексов, указанных в письме Минстроя России №44016-ИФ/09 от 02.11.2020, №45484-ИФ/09 от12.11.2020.</t>
  </si>
  <si>
    <t xml:space="preserve">Раздел 1. Строительство ЛЭП 10 кВ от фидера 10 кВ № 7 ПС 35/10 кВ Россия </t>
  </si>
  <si>
    <t>Итого по разделу 1</t>
  </si>
  <si>
    <t>Итого в ценах 4 кв. 2020 год без НДС</t>
  </si>
  <si>
    <t>Итого в ценах 4 кв. 2020 год с НДС</t>
  </si>
  <si>
    <t>Стоимость в ценах 4 кв. 2020 г. с учетом ДВ коэффициента К=1,09  ( руб.)</t>
  </si>
  <si>
    <t>ВЛ 10 кВ СИП3 1-70 1 цепь, км</t>
  </si>
  <si>
    <t>табл. 2</t>
  </si>
  <si>
    <t xml:space="preserve">Раздел 2. Строительство ЛЭП 10 кВ от фидера 10 кВ № 9 ПС 35/10 кВ Дубки </t>
  </si>
  <si>
    <t>Итого по разделу 2</t>
  </si>
  <si>
    <t>Утверждаю:</t>
  </si>
  <si>
    <t>Руководитель подразделения</t>
  </si>
  <si>
    <t>__________________Фамилия И.О.</t>
  </si>
  <si>
    <t>"____" ________________20__ года</t>
  </si>
  <si>
    <t>на изготовление технического плана</t>
  </si>
  <si>
    <r>
      <t>Смета составлена по ОНТЗ Роскомзема 1996 г</t>
    </r>
    <r>
      <rPr>
        <sz val="11"/>
        <rFont val="Arial"/>
        <family val="2"/>
        <charset val="204"/>
      </rPr>
      <t>.</t>
    </r>
  </si>
  <si>
    <t>1. Подготовительные работы</t>
  </si>
  <si>
    <t>табл. 74</t>
  </si>
  <si>
    <t>n</t>
  </si>
  <si>
    <t>"а"</t>
  </si>
  <si>
    <t>объект</t>
  </si>
  <si>
    <t>"в"</t>
  </si>
  <si>
    <t>1 тыс. га общей площади</t>
  </si>
  <si>
    <t>К"в"=1,0-0,40(2-n)площадь &lt; 2 га</t>
  </si>
  <si>
    <t>К"а"</t>
  </si>
  <si>
    <t>Прим.2</t>
  </si>
  <si>
    <t xml:space="preserve">Кприродно-экономич.     </t>
  </si>
  <si>
    <t>Кприр.экон.</t>
  </si>
  <si>
    <t>П.14</t>
  </si>
  <si>
    <t>С=(а*x1+в*х2)*Кпр.эк.*Кврг=</t>
  </si>
  <si>
    <t>2. Описание и согласование границ землепользования</t>
  </si>
  <si>
    <t>табл. 77</t>
  </si>
  <si>
    <t>землепользование</t>
  </si>
  <si>
    <t>1 км границы</t>
  </si>
  <si>
    <t>К"а"=1.0-0.02*(40-n) дл. &lt; 40 км</t>
  </si>
  <si>
    <t>К"в"=1,0+0,05(n-1) кол. меж. зн.</t>
  </si>
  <si>
    <t>К"в"</t>
  </si>
  <si>
    <t>Прим.4</t>
  </si>
  <si>
    <r>
      <t xml:space="preserve">1,5; </t>
    </r>
    <r>
      <rPr>
        <sz val="10"/>
        <rFont val="Courier New Cyr"/>
        <family val="3"/>
        <charset val="204"/>
      </rPr>
      <t xml:space="preserve"> Сличение координат</t>
    </r>
  </si>
  <si>
    <t>Прим.7</t>
  </si>
  <si>
    <t>Кприродно-экономич.     2,22</t>
  </si>
  <si>
    <t xml:space="preserve">3. Вычисление общей площади землепользования </t>
  </si>
  <si>
    <t>табл. 35</t>
  </si>
  <si>
    <t>1 тыс.га общей площади</t>
  </si>
  <si>
    <t>К"а"=1.0-0.9*(1-n) пл-дь&lt;1тыс.га</t>
  </si>
  <si>
    <t>К"в"=1.0-0.7*(1-n) пл-дь&lt;1тыс.га</t>
  </si>
  <si>
    <t>Прим.3</t>
  </si>
  <si>
    <t>К"а"=1.0+0,20*(n-1) кол. участков</t>
  </si>
  <si>
    <t xml:space="preserve">Кприродно-экономич.    </t>
  </si>
  <si>
    <t>табл. 73</t>
  </si>
  <si>
    <t>К"а"=1.0-0.90*(1-n) пл-дь &lt; 1 тыс. га</t>
  </si>
  <si>
    <t>К"а"=1.0+0,10*(n-1) кол-во участков</t>
  </si>
  <si>
    <t>Прим.6</t>
  </si>
  <si>
    <t>2200</t>
  </si>
  <si>
    <t>Итого</t>
  </si>
  <si>
    <t>Всего</t>
  </si>
  <si>
    <t>Расчет произведен согласно сборника цен и ОНЗТ на изготовление проектной и изыскательской продукции землеустройства, земельного кадастра и мониторинга земель</t>
  </si>
  <si>
    <t>Площадь, га:</t>
  </si>
  <si>
    <t>Количество точек с геоданными на 1 км:</t>
  </si>
  <si>
    <t>Количество сторонних землепользователей:</t>
  </si>
  <si>
    <t xml:space="preserve">Количество  видов территорий с особым режимом: </t>
  </si>
  <si>
    <t>Количество схем на объект</t>
  </si>
  <si>
    <t>Количество запросов</t>
  </si>
  <si>
    <t>№ п/п</t>
  </si>
  <si>
    <t>Наименование работ</t>
  </si>
  <si>
    <t>Ед.изм.</t>
  </si>
  <si>
    <t xml:space="preserve">Кол-во </t>
  </si>
  <si>
    <t>Показатели стоимости, 
руб.</t>
  </si>
  <si>
    <t>Коэффициенты 
к показателям</t>
  </si>
  <si>
    <t>Стоимость,
 руб.</t>
  </si>
  <si>
    <t>А</t>
  </si>
  <si>
    <t>В</t>
  </si>
  <si>
    <t>Подготовительные работы для выдачи свидетельств на право пользования</t>
  </si>
  <si>
    <t>табл.74</t>
  </si>
  <si>
    <t>тыс.га</t>
  </si>
  <si>
    <t>прим.2 к табл 74</t>
  </si>
  <si>
    <t>Ка=</t>
  </si>
  <si>
    <t>прим.4 к табл 74</t>
  </si>
  <si>
    <t>К=</t>
  </si>
  <si>
    <t>п.14 ОУ</t>
  </si>
  <si>
    <t>Кол-во схем</t>
  </si>
  <si>
    <t xml:space="preserve">Переезд к месту и обратно </t>
  </si>
  <si>
    <t>п.7 ОУ</t>
  </si>
  <si>
    <t>%</t>
  </si>
  <si>
    <t>Составление и вычерчивание плана границ землепользования, М1:500 (2 схемы)</t>
  </si>
  <si>
    <t>табл.75</t>
  </si>
  <si>
    <t>прим.2 к табл 75</t>
  </si>
  <si>
    <t>прим.4 к табл 75</t>
  </si>
  <si>
    <t>прим.3 к табл 75</t>
  </si>
  <si>
    <t>Кв=</t>
  </si>
  <si>
    <t>прим.6 к табл 75</t>
  </si>
  <si>
    <t>прим.5 к табл 75</t>
  </si>
  <si>
    <t>Объект: Строительство ЛЭП 10 кВ от фидера 10 кВ № 7 ПС 35/10 кВ Россия для электроснабжения «микрорайона фермерский комплекс»</t>
  </si>
  <si>
    <t>Запрос сведений ГКН:  КВЗУ - 1 шт.</t>
  </si>
  <si>
    <r>
      <rPr>
        <b/>
        <sz val="11"/>
        <rFont val="Courier New Cyr"/>
        <charset val="204"/>
      </rPr>
      <t>ИТОГО</t>
    </r>
    <r>
      <rPr>
        <sz val="11"/>
        <rFont val="Courier New Cyr"/>
        <family val="3"/>
        <charset val="204"/>
      </rPr>
      <t xml:space="preserve">
(коэффициент-дефлятор на 2020 год к ценам сборника ОНЗТ (Приказ Минэкономразвития от 21.10.2019 №684)</t>
    </r>
  </si>
  <si>
    <t xml:space="preserve">Смета №09-01-01 </t>
  </si>
  <si>
    <t xml:space="preserve">С учетом письма Минфина от 27 ноября 2009 г. N 03-11-11/216 216 и от 11 февраля 2011 г. N 03-11-09/6  и коэффициента-дефлятора  на 2020г (приказ Минэкономразвития России от 21.10.2019 №684) </t>
  </si>
  <si>
    <t>НДС 20%</t>
  </si>
  <si>
    <t xml:space="preserve">Кприр-экон. </t>
  </si>
  <si>
    <r>
      <rPr>
        <b/>
        <sz val="16"/>
        <color theme="1"/>
        <rFont val="Times New Roman"/>
        <family val="1"/>
        <charset val="204"/>
      </rPr>
      <t>Расчет №09-01-02
стоимости изготовления схемы расположения земельного участка на кадастровом плане территории</t>
    </r>
    <r>
      <rPr>
        <sz val="16"/>
        <color theme="1"/>
        <rFont val="Times New Roman"/>
        <family val="1"/>
        <charset val="204"/>
      </rPr>
      <t xml:space="preserve">
по объекту: "Строительство ЛЭП 10 кВ от фидера 10 кВ № 7 ПС 35/10 кВ Россия для электроснабжения «микрорайона фермерский комплекс»"</t>
    </r>
  </si>
  <si>
    <t xml:space="preserve">Смета №09-02-01 </t>
  </si>
  <si>
    <t>Объект: Строительство ЛЭП 10 кВ от фидера 10 кВ № 9 ПС 35/10 кВ Дубки для электроснабжения «микрорайона фермерский комплекс»</t>
  </si>
  <si>
    <t>Запрос сведений ГКН:  КВЗУ - 3 шт.</t>
  </si>
  <si>
    <t>Смета рассчитана на отдельные земельные участки:</t>
  </si>
  <si>
    <t>для ЛЭП - 10кВ:</t>
  </si>
  <si>
    <t>Ограничения и обременения на данном участке отсутствуют</t>
  </si>
  <si>
    <t>Характеристика сооружения или выды работ</t>
  </si>
  <si>
    <t>№№ частей, глав, таблиц пар-ов и пунктов указаний к разделу или главе сборников</t>
  </si>
  <si>
    <t>Расчет стоимости</t>
  </si>
  <si>
    <t>Стоимость, руб</t>
  </si>
  <si>
    <t>Вычисление общей площади землепользований</t>
  </si>
  <si>
    <t>Сборник цен и общественно необходимых затрат труда (ОНЗТ), изд. 1996 г.                                        Таб 35</t>
  </si>
  <si>
    <t>Объем:</t>
  </si>
  <si>
    <t>1 тыс.га огран-ий и обрем-ий</t>
  </si>
  <si>
    <t>1 тыс.га наложений 3-их лиц</t>
  </si>
  <si>
    <t>а</t>
  </si>
  <si>
    <t>руб.</t>
  </si>
  <si>
    <t>56хK2aхK4a=</t>
  </si>
  <si>
    <t>в</t>
  </si>
  <si>
    <t>34хSхK3в=</t>
  </si>
  <si>
    <t>К2а</t>
  </si>
  <si>
    <t>К=1,0-0,9х(1-n)</t>
  </si>
  <si>
    <t>К4а</t>
  </si>
  <si>
    <t>К=1+0,2х(1-n)</t>
  </si>
  <si>
    <t>К3в</t>
  </si>
  <si>
    <t>К=1,0-0,7х(1-n)</t>
  </si>
  <si>
    <t>Коэффициент к ценам с учетом природно-экономических особенностей территории</t>
  </si>
  <si>
    <t>ОНЗТ,  прил. 1</t>
  </si>
  <si>
    <t>Всего:</t>
  </si>
  <si>
    <t>Подготовка Межевого плана по отводу земель</t>
  </si>
  <si>
    <t>Сборник цен и общественно необходимых затрат труда (ОНЗТ), изд. 1996 г.                                        Таб 73</t>
  </si>
  <si>
    <t>1363хК2ахК6ахК8ах1=</t>
  </si>
  <si>
    <t>3431хК4вхS=</t>
  </si>
  <si>
    <t>К=1,0-0,9х(1,0-n)</t>
  </si>
  <si>
    <t>К6а</t>
  </si>
  <si>
    <t>К=1,0+0,1х(1-n)</t>
  </si>
  <si>
    <t>К8а</t>
  </si>
  <si>
    <t>К=1,0+0,1х(3-n)</t>
  </si>
  <si>
    <t>К4в</t>
  </si>
  <si>
    <t>К=1,0+0,01х(5-n)</t>
  </si>
  <si>
    <t>Проезд до объекта и обратно (до 25% от стоиомсти работ) п.7 ОУ</t>
  </si>
  <si>
    <t>Составление и вычерчивание чертежа земельных участков</t>
  </si>
  <si>
    <t>Сборник цен и общественно необходимых затрат труда (ОНЗТ), изд. 1996 г.                                        Таб 75</t>
  </si>
  <si>
    <t>355хK1aхК2ахК4ахК5ахК8ах1=</t>
  </si>
  <si>
    <t>22х1хК5вхК6вхS=</t>
  </si>
  <si>
    <t>К1а</t>
  </si>
  <si>
    <t>К=1,0+0,15х(1-n)</t>
  </si>
  <si>
    <t>К=1,0-0,45х(2-n)</t>
  </si>
  <si>
    <t>К=1,0+0,05*n</t>
  </si>
  <si>
    <t>К5а</t>
  </si>
  <si>
    <t>К=1,0+0,1хn</t>
  </si>
  <si>
    <t>К=1,0+0,1х(5-n)</t>
  </si>
  <si>
    <t>К5в</t>
  </si>
  <si>
    <t>К6в</t>
  </si>
  <si>
    <t>К=1,6</t>
  </si>
  <si>
    <t>Описание и согласование границ землепользований</t>
  </si>
  <si>
    <t>Сборник цен и общественно необходимых затрат труда (ОНЗТ), изд. 1996 г.                                        Таб 77</t>
  </si>
  <si>
    <t>1 км. границы</t>
  </si>
  <si>
    <t>1 км. границы огр-ий и обр-ий</t>
  </si>
  <si>
    <t>1 км. границы налож-ий 3-их лиц</t>
  </si>
  <si>
    <t>882хК2ах1=</t>
  </si>
  <si>
    <t>11хК4вхК5вхК7вхS=</t>
  </si>
  <si>
    <t xml:space="preserve">К=1-0,02х(40-n) </t>
  </si>
  <si>
    <t>К=1,0+0,05х(5-n)</t>
  </si>
  <si>
    <t>К=1+0,1х(3-n)</t>
  </si>
  <si>
    <t>К7в</t>
  </si>
  <si>
    <t>К=1,5</t>
  </si>
  <si>
    <t>Изготовление "Межевого плана", согласно приказа  №412 от 24.11.2008 года</t>
  </si>
  <si>
    <t>Сборник цен и общественно необходимых затрат труда (ОНЗТ), изд. 1996 г.                                        Прил. 12</t>
  </si>
  <si>
    <t>чел. дней</t>
  </si>
  <si>
    <t>200х1=</t>
  </si>
  <si>
    <t>Итого за землеустроительные работы:</t>
  </si>
  <si>
    <t>Всего по смете:</t>
  </si>
  <si>
    <t xml:space="preserve">на выполнение кадастровых работ по изготовлению межевых планов частей земельных участков по объекту: Строительство ЛЭП 10 кВ от фидера 10 кВ № 9 ПС 35/10 кВ Дубки для электроснабжения «микрорайона фермерский комплекс», планируемого к расположению на земельном участке с кадастровым номером 25:09:320101:196 находящегося в собственности АО «ПримАгро» </t>
  </si>
  <si>
    <t>Площадью 8*1000=8000/10000 = 0,8 га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</si>
  <si>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</si>
  <si>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</si>
  <si>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</si>
  <si>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</si>
  <si>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стоимость,тыс. руб.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</si>
  <si>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</si>
  <si>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</si>
  <si>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</si>
  <si>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</si>
  <si>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МРСК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</si>
  <si>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</si>
  <si>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</si>
  <si>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</si>
  <si>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</si>
  <si>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</si>
  <si>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</si>
  <si>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</si>
  <si>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</si>
  <si>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Прочие работы и затраты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</si>
  <si>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</si>
  <si>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</si>
  <si>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</si>
  <si>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</si>
  <si>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</si>
  <si>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</si>
  <si>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</si>
  <si>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Составлена в ценах по состоянию на 4 кв. 2020 год</t>
  </si>
  <si>
    <t>Сметная стоимость, руб.</t>
  </si>
  <si>
    <t>Итого в ценах 4 кв. 2020 года</t>
  </si>
  <si>
    <t>Смета № 09-01-01</t>
  </si>
  <si>
    <t>Изготовление технического плана ВЛ 10 кВ от ПС Дубки</t>
  </si>
  <si>
    <t>Изготовление технического плана ВЛ 10 кВ от ПС России</t>
  </si>
  <si>
    <t>Смета № 09-01-02</t>
  </si>
  <si>
    <t>Изготовление схемы расположения земельного участка на кадастровом плане территории ВЛ 10 кВ от ПС России</t>
  </si>
  <si>
    <t>Смета № 09-02-01</t>
  </si>
  <si>
    <t>Изготовление схемы расположения земельного участка на кадастровом плане территории ВЛ 10 кВ от ПС Дубки</t>
  </si>
  <si>
    <t>Смета № 09-02-02</t>
  </si>
  <si>
    <r>
      <rPr>
        <b/>
        <sz val="16"/>
        <color theme="1"/>
        <rFont val="Times New Roman"/>
        <family val="1"/>
        <charset val="204"/>
      </rPr>
      <t>Расчет №09-02-02
стоимости изготовления схемы расположения земельного участка на кадастровом плане территории</t>
    </r>
    <r>
      <rPr>
        <sz val="16"/>
        <color theme="1"/>
        <rFont val="Times New Roman"/>
        <family val="1"/>
        <charset val="204"/>
      </rPr>
      <t xml:space="preserve">
по объекту: "Строительство ЛЭП 10 кВ от фидера 10 кВ № 9 ПС 35/10 кВ Дубки для электроснабжения «микрорайона фермерский комплекс»" с учетом земельном участке с кадастровым номером 25:09:320101:196 находящегося в собственности АО «ПримАгро» </t>
    </r>
  </si>
  <si>
    <t>С М Е Т А №09-02-03</t>
  </si>
  <si>
    <t>Смета № 09-02-03</t>
  </si>
  <si>
    <t>К=((1,5+2,5+7,5+5+1,5)/100+1)=1,18</t>
  </si>
  <si>
    <t xml:space="preserve">Изготовление межевых планов частей земельных участков </t>
  </si>
  <si>
    <t>Строительство ЛЭП 10 кВ от фидера 10 кВ № 7 ПС 35/10 кВ Россия и от фидера 10 кВ № 9 ПС 35/10 кВ Дубки для электроснабжения «микрорайона фермерский комплекс»</t>
  </si>
  <si>
    <t>На строительство, реконструкцию ТП, ЛЭП 35-0,4 кВ 
(в том числе ПИР и оформление правоустанавливающих документов на землю) для технологического присоединения потребителей
на территории филиала ПЭС</t>
  </si>
  <si>
    <t>СВОДКА ЗАТРАТ</t>
  </si>
  <si>
    <t>Строительство ВЛ 10 кВ от ПС Дубки</t>
  </si>
  <si>
    <t>Строительство ВЛ 10 кВ от ПС России</t>
  </si>
  <si>
    <t>Объекты:   ТОР Михайловский. Строительство ВЛ 10 кВ от ПС Дубки и Строительство ВЛ 10 кВ от ПС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</si>
</sst>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0.0000"/>
    <numFmt numFmtId="165" formatCode="0.0000000"/>
    <numFmt numFmtId="166" formatCode="0.000"/>
    <numFmt numFmtId="167" formatCode="_-* #,##0.00&quot;р.&quot;_-;\-* #,##0.00&quot;р.&quot;_-;_-* &quot;-&quot;??&quot;р.&quot;_-;_-@_-"/>
    <numFmt numFmtId="168" formatCode="0.00;[Red]0.00"/>
    <numFmt numFmtId="169" formatCode="0.0"/>
    <numFmt numFmtId="170" formatCode="#,##0.00&quot;р.&quot;"/>
    <numFmt numFmtId="171" formatCode="0.00000"/>
    <numFmt numFmtId="172" formatCode="#,##0.00\ &quot;р.&quot;"/>
    <numFmt numFmtId="173" formatCode="0.000000"/>
    <numFmt numFmtId="174" formatCode="0.0%"/>
    <numFmt numFmtId="175" formatCode="#,##0.000"/>
  </numFmts>
  <fonts count="52" x14ac:knownFonts="1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ourier New"/>
      <family val="3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b/>
      <sz val="11"/>
      <name val="Courier New"/>
      <family val="3"/>
      <charset val="204"/>
    </font>
    <font>
      <b/>
      <sz val="12"/>
      <name val="Courier New"/>
      <family val="3"/>
      <charset val="204"/>
    </font>
    <font>
      <sz val="11"/>
      <name val="Arial"/>
      <family val="2"/>
      <charset val="204"/>
    </font>
    <font>
      <b/>
      <sz val="12"/>
      <name val="Courier New Cyr"/>
      <family val="3"/>
      <charset val="204"/>
    </font>
    <font>
      <sz val="9"/>
      <name val="Courier New Cyr"/>
      <family val="3"/>
      <charset val="204"/>
    </font>
    <font>
      <sz val="12"/>
      <name val="Courier New Cyr"/>
      <family val="3"/>
      <charset val="204"/>
    </font>
    <font>
      <sz val="10"/>
      <name val="Courier New Cyr"/>
      <family val="3"/>
      <charset val="204"/>
    </font>
    <font>
      <sz val="11"/>
      <name val="Courier New Cyr"/>
      <family val="3"/>
      <charset val="204"/>
    </font>
    <font>
      <b/>
      <sz val="10"/>
      <name val="Courier New Cyr"/>
      <family val="3"/>
      <charset val="204"/>
    </font>
    <font>
      <sz val="12"/>
      <name val="Courier New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sz val="16"/>
      <color theme="1"/>
      <name val="Times New Roman"/>
      <family val="1"/>
      <charset val="204"/>
    </font>
    <font>
      <i/>
      <sz val="12"/>
      <color rgb="FF00B0F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Courier New Cyr"/>
      <charset val="204"/>
    </font>
    <font>
      <sz val="11"/>
      <name val="Courier New Cyr"/>
      <charset val="204"/>
    </font>
    <font>
      <b/>
      <sz val="16"/>
      <color theme="1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DFFF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7" fillId="0" borderId="0"/>
    <xf numFmtId="0" fontId="14" fillId="0" borderId="0"/>
    <xf numFmtId="0" fontId="15" fillId="0" borderId="0"/>
    <xf numFmtId="0" fontId="17" fillId="0" borderId="0"/>
  </cellStyleXfs>
  <cellXfs count="48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right"/>
    </xf>
    <xf numFmtId="0" fontId="6" fillId="0" borderId="0" xfId="2" applyFont="1"/>
    <xf numFmtId="0" fontId="3" fillId="0" borderId="0" xfId="2" applyFont="1" applyAlignment="1">
      <alignment horizontal="right" vertical="top"/>
    </xf>
    <xf numFmtId="0" fontId="4" fillId="0" borderId="0" xfId="2" applyFont="1"/>
    <xf numFmtId="0" fontId="2" fillId="0" borderId="0" xfId="2" applyFont="1" applyAlignment="1"/>
    <xf numFmtId="4" fontId="8" fillId="0" borderId="0" xfId="2" applyNumberFormat="1" applyFont="1" applyBorder="1" applyAlignment="1">
      <alignment horizontal="right"/>
    </xf>
    <xf numFmtId="4" fontId="8" fillId="0" borderId="0" xfId="2" applyNumberFormat="1" applyFont="1" applyBorder="1" applyAlignment="1">
      <alignment horizontal="right" vertical="center"/>
    </xf>
    <xf numFmtId="0" fontId="8" fillId="0" borderId="0" xfId="2" applyFont="1" applyBorder="1" applyAlignment="1">
      <alignment horizontal="left" wrapText="1"/>
    </xf>
    <xf numFmtId="4" fontId="8" fillId="0" borderId="0" xfId="2" applyNumberFormat="1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 wrapText="1"/>
    </xf>
    <xf numFmtId="4" fontId="8" fillId="0" borderId="1" xfId="2" applyNumberFormat="1" applyFont="1" applyBorder="1" applyAlignment="1">
      <alignment horizontal="right" vertical="center"/>
    </xf>
    <xf numFmtId="4" fontId="2" fillId="0" borderId="1" xfId="2" applyNumberFormat="1" applyFont="1" applyBorder="1" applyAlignment="1">
      <alignment horizontal="right" wrapText="1"/>
    </xf>
    <xf numFmtId="4" fontId="2" fillId="2" borderId="1" xfId="2" applyNumberFormat="1" applyFont="1" applyFill="1" applyBorder="1" applyAlignment="1">
      <alignment horizontal="right"/>
    </xf>
    <xf numFmtId="4" fontId="2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/>
    </xf>
    <xf numFmtId="2" fontId="2" fillId="2" borderId="1" xfId="2" applyNumberFormat="1" applyFont="1" applyFill="1" applyBorder="1" applyAlignment="1">
      <alignment wrapText="1"/>
    </xf>
    <xf numFmtId="0" fontId="2" fillId="2" borderId="1" xfId="2" applyFont="1" applyFill="1" applyBorder="1" applyAlignment="1"/>
    <xf numFmtId="0" fontId="2" fillId="0" borderId="1" xfId="2" applyFont="1" applyBorder="1" applyAlignment="1">
      <alignment horizontal="center" vertical="center" wrapText="1"/>
    </xf>
    <xf numFmtId="0" fontId="6" fillId="0" borderId="0" xfId="1" applyFont="1"/>
    <xf numFmtId="0" fontId="11" fillId="0" borderId="0" xfId="0" applyFont="1"/>
    <xf numFmtId="0" fontId="6" fillId="0" borderId="0" xfId="1" applyFont="1" applyAlignment="1">
      <alignment horizontal="center"/>
    </xf>
    <xf numFmtId="4" fontId="2" fillId="0" borderId="0" xfId="2" applyNumberFormat="1" applyFont="1"/>
    <xf numFmtId="0" fontId="15" fillId="0" borderId="0" xfId="5" applyFont="1" applyAlignment="1">
      <alignment horizontal="center" vertical="top"/>
    </xf>
    <xf numFmtId="49" fontId="15" fillId="0" borderId="0" xfId="5" applyNumberFormat="1" applyFont="1" applyAlignment="1">
      <alignment horizontal="left" vertical="top"/>
    </xf>
    <xf numFmtId="0" fontId="15" fillId="0" borderId="0" xfId="5" applyFont="1" applyAlignment="1">
      <alignment horizontal="left" vertical="top" wrapText="1"/>
    </xf>
    <xf numFmtId="0" fontId="15" fillId="0" borderId="0" xfId="5" applyFont="1" applyAlignment="1">
      <alignment horizontal="center" vertical="top" wrapText="1"/>
    </xf>
    <xf numFmtId="0" fontId="15" fillId="0" borderId="0" xfId="5" applyFont="1" applyAlignment="1">
      <alignment horizontal="right" vertical="top"/>
    </xf>
    <xf numFmtId="0" fontId="15" fillId="0" borderId="0" xfId="5" applyFont="1"/>
    <xf numFmtId="0" fontId="15" fillId="0" borderId="0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0" fontId="2" fillId="0" borderId="2" xfId="2" applyFont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right" vertical="center"/>
    </xf>
    <xf numFmtId="4" fontId="18" fillId="0" borderId="1" xfId="2" applyNumberFormat="1" applyFont="1" applyBorder="1" applyAlignment="1">
      <alignment horizontal="right" vertical="center" wrapText="1"/>
    </xf>
    <xf numFmtId="4" fontId="8" fillId="0" borderId="1" xfId="2" applyNumberFormat="1" applyFont="1" applyBorder="1" applyAlignment="1">
      <alignment horizontal="right" vertical="center" wrapText="1"/>
    </xf>
    <xf numFmtId="0" fontId="14" fillId="0" borderId="0" xfId="5"/>
    <xf numFmtId="0" fontId="15" fillId="0" borderId="0" xfId="5" applyFont="1" applyAlignment="1"/>
    <xf numFmtId="0" fontId="14" fillId="0" borderId="0" xfId="5" applyAlignment="1"/>
    <xf numFmtId="0" fontId="14" fillId="0" borderId="0" xfId="5" applyAlignment="1">
      <alignment horizontal="right"/>
    </xf>
    <xf numFmtId="0" fontId="21" fillId="0" borderId="0" xfId="5" applyFont="1" applyBorder="1" applyAlignment="1"/>
    <xf numFmtId="0" fontId="22" fillId="0" borderId="0" xfId="5" applyFont="1" applyBorder="1" applyAlignment="1"/>
    <xf numFmtId="0" fontId="22" fillId="0" borderId="0" xfId="5" applyFont="1" applyBorder="1" applyAlignment="1">
      <alignment vertical="top" wrapText="1"/>
    </xf>
    <xf numFmtId="0" fontId="24" fillId="0" borderId="7" xfId="5" applyFont="1" applyBorder="1" applyAlignment="1">
      <alignment vertical="center" wrapText="1"/>
    </xf>
    <xf numFmtId="0" fontId="14" fillId="0" borderId="0" xfId="5" applyAlignment="1">
      <alignment vertical="center"/>
    </xf>
    <xf numFmtId="164" fontId="23" fillId="3" borderId="1" xfId="5" applyNumberFormat="1" applyFont="1" applyFill="1" applyBorder="1" applyAlignment="1">
      <alignment horizontal="center" vertical="center" wrapText="1"/>
    </xf>
    <xf numFmtId="0" fontId="27" fillId="0" borderId="10" xfId="5" applyFont="1" applyBorder="1" applyAlignment="1">
      <alignment horizontal="center" vertical="center"/>
    </xf>
    <xf numFmtId="0" fontId="28" fillId="4" borderId="11" xfId="5" applyFont="1" applyFill="1" applyBorder="1" applyAlignment="1">
      <alignment horizontal="center" vertical="center"/>
    </xf>
    <xf numFmtId="0" fontId="28" fillId="0" borderId="12" xfId="5" applyFont="1" applyFill="1" applyBorder="1" applyAlignment="1"/>
    <xf numFmtId="0" fontId="26" fillId="0" borderId="13" xfId="5" applyFont="1" applyBorder="1" applyAlignment="1"/>
    <xf numFmtId="0" fontId="29" fillId="0" borderId="2" xfId="5" applyFont="1" applyBorder="1" applyAlignment="1"/>
    <xf numFmtId="0" fontId="29" fillId="0" borderId="2" xfId="5" applyFont="1" applyFill="1" applyBorder="1" applyAlignment="1">
      <alignment horizontal="right" vertical="center"/>
    </xf>
    <xf numFmtId="0" fontId="29" fillId="0" borderId="14" xfId="5" applyFont="1" applyBorder="1" applyAlignment="1"/>
    <xf numFmtId="0" fontId="28" fillId="0" borderId="2" xfId="5" applyFont="1" applyBorder="1" applyAlignment="1"/>
    <xf numFmtId="0" fontId="28" fillId="0" borderId="15" xfId="5" applyFont="1" applyBorder="1" applyAlignment="1"/>
    <xf numFmtId="0" fontId="14" fillId="0" borderId="16" xfId="5" applyBorder="1"/>
    <xf numFmtId="0" fontId="29" fillId="0" borderId="1" xfId="5" applyFont="1" applyBorder="1" applyAlignment="1"/>
    <xf numFmtId="0" fontId="29" fillId="0" borderId="1" xfId="5" applyFont="1" applyFill="1" applyBorder="1" applyAlignment="1">
      <alignment horizontal="right" vertical="center"/>
    </xf>
    <xf numFmtId="0" fontId="28" fillId="0" borderId="17" xfId="5" applyFont="1" applyBorder="1" applyAlignment="1"/>
    <xf numFmtId="0" fontId="29" fillId="0" borderId="18" xfId="5" applyFont="1" applyBorder="1" applyAlignment="1"/>
    <xf numFmtId="2" fontId="29" fillId="0" borderId="1" xfId="5" applyNumberFormat="1" applyFont="1" applyBorder="1" applyAlignment="1"/>
    <xf numFmtId="0" fontId="29" fillId="0" borderId="5" xfId="5" applyFont="1" applyBorder="1" applyAlignment="1"/>
    <xf numFmtId="165" fontId="29" fillId="4" borderId="1" xfId="5" applyNumberFormat="1" applyFont="1" applyFill="1" applyBorder="1" applyAlignment="1"/>
    <xf numFmtId="0" fontId="30" fillId="0" borderId="13" xfId="5" applyFont="1" applyBorder="1"/>
    <xf numFmtId="0" fontId="29" fillId="0" borderId="1" xfId="5" applyFont="1" applyBorder="1"/>
    <xf numFmtId="166" fontId="29" fillId="5" borderId="1" xfId="5" applyNumberFormat="1" applyFont="1" applyFill="1" applyBorder="1" applyAlignment="1">
      <alignment horizontal="right" vertical="center"/>
    </xf>
    <xf numFmtId="0" fontId="27" fillId="0" borderId="1" xfId="5" applyFont="1" applyBorder="1" applyAlignment="1">
      <alignment vertical="center"/>
    </xf>
    <xf numFmtId="0" fontId="28" fillId="0" borderId="1" xfId="5" applyFont="1" applyBorder="1" applyAlignment="1">
      <alignment vertical="center"/>
    </xf>
    <xf numFmtId="0" fontId="14" fillId="0" borderId="19" xfId="5" applyBorder="1" applyAlignment="1">
      <alignment vertical="center"/>
    </xf>
    <xf numFmtId="0" fontId="27" fillId="0" borderId="20" xfId="5" applyFont="1" applyBorder="1" applyAlignment="1"/>
    <xf numFmtId="0" fontId="14" fillId="0" borderId="21" xfId="5" applyBorder="1" applyAlignment="1"/>
    <xf numFmtId="0" fontId="14" fillId="0" borderId="22" xfId="5" applyBorder="1" applyAlignment="1"/>
    <xf numFmtId="167" fontId="26" fillId="6" borderId="23" xfId="5" applyNumberFormat="1" applyFont="1" applyFill="1" applyBorder="1"/>
    <xf numFmtId="0" fontId="28" fillId="0" borderId="0" xfId="5" applyFont="1"/>
    <xf numFmtId="0" fontId="26" fillId="0" borderId="8" xfId="5" applyFont="1" applyFill="1" applyBorder="1" applyAlignment="1">
      <alignment horizontal="centerContinuous" vertical="center" wrapText="1"/>
    </xf>
    <xf numFmtId="49" fontId="26" fillId="0" borderId="9" xfId="5" applyNumberFormat="1" applyFont="1" applyBorder="1" applyAlignment="1">
      <alignment horizontal="centerContinuous" vertical="center" wrapText="1"/>
    </xf>
    <xf numFmtId="166" fontId="29" fillId="3" borderId="11" xfId="5" applyNumberFormat="1" applyFont="1" applyFill="1" applyBorder="1" applyAlignment="1">
      <alignment horizontal="center" vertical="center"/>
    </xf>
    <xf numFmtId="0" fontId="27" fillId="0" borderId="11" xfId="5" applyFont="1" applyBorder="1" applyAlignment="1">
      <alignment horizontal="center" vertical="center" wrapText="1"/>
    </xf>
    <xf numFmtId="0" fontId="28" fillId="4" borderId="9" xfId="5" applyFont="1" applyFill="1" applyBorder="1" applyAlignment="1">
      <alignment horizontal="center" vertical="center"/>
    </xf>
    <xf numFmtId="0" fontId="28" fillId="0" borderId="24" xfId="5" applyFont="1" applyBorder="1" applyAlignment="1">
      <alignment vertical="center"/>
    </xf>
    <xf numFmtId="0" fontId="29" fillId="0" borderId="13" xfId="5" applyFont="1" applyFill="1" applyBorder="1" applyAlignment="1">
      <alignment horizontal="center"/>
    </xf>
    <xf numFmtId="0" fontId="29" fillId="0" borderId="2" xfId="5" applyFont="1" applyBorder="1"/>
    <xf numFmtId="0" fontId="28" fillId="0" borderId="2" xfId="5" applyFont="1" applyBorder="1"/>
    <xf numFmtId="0" fontId="28" fillId="0" borderId="25" xfId="5" applyFont="1" applyBorder="1"/>
    <xf numFmtId="0" fontId="29" fillId="0" borderId="26" xfId="5" applyFont="1" applyFill="1" applyBorder="1" applyAlignment="1">
      <alignment horizontal="center"/>
    </xf>
    <xf numFmtId="0" fontId="28" fillId="0" borderId="1" xfId="5" applyFont="1" applyBorder="1"/>
    <xf numFmtId="0" fontId="28" fillId="0" borderId="27" xfId="5" applyFont="1" applyBorder="1"/>
    <xf numFmtId="0" fontId="29" fillId="0" borderId="26" xfId="5" applyFont="1" applyBorder="1"/>
    <xf numFmtId="168" fontId="29" fillId="0" borderId="1" xfId="5" applyNumberFormat="1" applyFont="1" applyBorder="1"/>
    <xf numFmtId="166" fontId="29" fillId="4" borderId="1" xfId="5" applyNumberFormat="1" applyFont="1" applyFill="1" applyBorder="1"/>
    <xf numFmtId="2" fontId="29" fillId="0" borderId="28" xfId="5" applyNumberFormat="1" applyFont="1" applyBorder="1"/>
    <xf numFmtId="1" fontId="29" fillId="4" borderId="1" xfId="5" applyNumberFormat="1" applyFont="1" applyFill="1" applyBorder="1" applyAlignment="1"/>
    <xf numFmtId="0" fontId="31" fillId="0" borderId="26" xfId="5" applyFont="1" applyBorder="1"/>
    <xf numFmtId="169" fontId="29" fillId="0" borderId="28" xfId="5" applyNumberFormat="1" applyFont="1" applyBorder="1"/>
    <xf numFmtId="1" fontId="29" fillId="0" borderId="1" xfId="5" applyNumberFormat="1" applyFont="1" applyFill="1" applyBorder="1" applyAlignment="1"/>
    <xf numFmtId="0" fontId="28" fillId="0" borderId="17" xfId="5" applyFont="1" applyBorder="1"/>
    <xf numFmtId="0" fontId="30" fillId="0" borderId="26" xfId="5" applyFont="1" applyBorder="1"/>
    <xf numFmtId="0" fontId="14" fillId="0" borderId="1" xfId="5" applyBorder="1"/>
    <xf numFmtId="0" fontId="26" fillId="0" borderId="10" xfId="5" applyFont="1" applyBorder="1" applyAlignment="1">
      <alignment horizontal="centerContinuous" vertical="center" wrapText="1"/>
    </xf>
    <xf numFmtId="0" fontId="28" fillId="0" borderId="12" xfId="5" applyFont="1" applyBorder="1" applyAlignment="1">
      <alignment vertical="center"/>
    </xf>
    <xf numFmtId="0" fontId="31" fillId="0" borderId="13" xfId="5" applyFont="1" applyFill="1" applyBorder="1" applyAlignment="1">
      <alignment horizontal="center"/>
    </xf>
    <xf numFmtId="0" fontId="29" fillId="0" borderId="28" xfId="5" applyFont="1" applyBorder="1"/>
    <xf numFmtId="0" fontId="28" fillId="0" borderId="28" xfId="5" applyFont="1" applyBorder="1"/>
    <xf numFmtId="0" fontId="28" fillId="0" borderId="15" xfId="5" applyFont="1" applyBorder="1"/>
    <xf numFmtId="0" fontId="31" fillId="0" borderId="29" xfId="5" applyFont="1" applyFill="1" applyBorder="1" applyAlignment="1">
      <alignment horizontal="left" vertical="center"/>
    </xf>
    <xf numFmtId="0" fontId="29" fillId="0" borderId="13" xfId="5" applyFont="1" applyBorder="1"/>
    <xf numFmtId="0" fontId="29" fillId="5" borderId="1" xfId="5" applyFont="1" applyFill="1" applyBorder="1" applyAlignment="1">
      <alignment horizontal="right" vertical="center"/>
    </xf>
    <xf numFmtId="165" fontId="29" fillId="7" borderId="28" xfId="5" applyNumberFormat="1" applyFont="1" applyFill="1" applyBorder="1"/>
    <xf numFmtId="49" fontId="29" fillId="0" borderId="28" xfId="5" applyNumberFormat="1" applyFont="1" applyBorder="1"/>
    <xf numFmtId="2" fontId="29" fillId="5" borderId="1" xfId="5" applyNumberFormat="1" applyFont="1" applyFill="1" applyBorder="1" applyAlignment="1">
      <alignment horizontal="right" vertical="center"/>
    </xf>
    <xf numFmtId="1" fontId="29" fillId="7" borderId="28" xfId="5" applyNumberFormat="1" applyFont="1" applyFill="1" applyBorder="1"/>
    <xf numFmtId="0" fontId="29" fillId="0" borderId="29" xfId="5" applyFont="1" applyBorder="1"/>
    <xf numFmtId="0" fontId="29" fillId="0" borderId="14" xfId="5" applyFont="1" applyBorder="1"/>
    <xf numFmtId="0" fontId="14" fillId="0" borderId="28" xfId="5" applyBorder="1"/>
    <xf numFmtId="0" fontId="29" fillId="0" borderId="30" xfId="5" applyFont="1" applyBorder="1" applyAlignment="1"/>
    <xf numFmtId="0" fontId="27" fillId="0" borderId="31" xfId="5" applyFont="1" applyBorder="1"/>
    <xf numFmtId="0" fontId="14" fillId="0" borderId="32" xfId="5" applyBorder="1"/>
    <xf numFmtId="167" fontId="26" fillId="6" borderId="19" xfId="5" applyNumberFormat="1" applyFont="1" applyFill="1" applyBorder="1"/>
    <xf numFmtId="164" fontId="29" fillId="8" borderId="11" xfId="5" applyNumberFormat="1" applyFont="1" applyFill="1" applyBorder="1" applyAlignment="1">
      <alignment horizontal="center" vertical="center"/>
    </xf>
    <xf numFmtId="0" fontId="28" fillId="0" borderId="9" xfId="5" applyFont="1" applyFill="1" applyBorder="1" applyAlignment="1">
      <alignment horizontal="center" vertical="center"/>
    </xf>
    <xf numFmtId="0" fontId="28" fillId="0" borderId="24" xfId="5" applyFont="1" applyBorder="1"/>
    <xf numFmtId="0" fontId="31" fillId="8" borderId="13" xfId="5" applyFont="1" applyFill="1" applyBorder="1" applyAlignment="1">
      <alignment horizontal="center"/>
    </xf>
    <xf numFmtId="0" fontId="29" fillId="0" borderId="26" xfId="5" applyFont="1" applyFill="1" applyBorder="1"/>
    <xf numFmtId="2" fontId="29" fillId="0" borderId="1" xfId="5" applyNumberFormat="1" applyFont="1" applyBorder="1"/>
    <xf numFmtId="165" fontId="29" fillId="4" borderId="1" xfId="5" applyNumberFormat="1" applyFont="1" applyFill="1" applyBorder="1"/>
    <xf numFmtId="0" fontId="14" fillId="0" borderId="5" xfId="5" applyBorder="1" applyAlignment="1"/>
    <xf numFmtId="0" fontId="14" fillId="0" borderId="6" xfId="5" applyBorder="1" applyAlignment="1"/>
    <xf numFmtId="0" fontId="14" fillId="0" borderId="33" xfId="5" applyBorder="1"/>
    <xf numFmtId="170" fontId="26" fillId="6" borderId="27" xfId="5" applyNumberFormat="1" applyFont="1" applyFill="1" applyBorder="1" applyAlignment="1">
      <alignment vertical="center"/>
    </xf>
    <xf numFmtId="49" fontId="28" fillId="4" borderId="1" xfId="5" applyNumberFormat="1" applyFont="1" applyFill="1" applyBorder="1" applyAlignment="1">
      <alignment horizontal="center" vertical="center" wrapText="1"/>
    </xf>
    <xf numFmtId="170" fontId="26" fillId="6" borderId="27" xfId="5" applyNumberFormat="1" applyFont="1" applyFill="1" applyBorder="1" applyAlignment="1">
      <alignment horizontal="right" vertical="center"/>
    </xf>
    <xf numFmtId="0" fontId="26" fillId="6" borderId="8" xfId="5" applyFont="1" applyFill="1" applyBorder="1" applyAlignment="1">
      <alignment horizontal="right"/>
    </xf>
    <xf numFmtId="0" fontId="30" fillId="6" borderId="10" xfId="5" applyFont="1" applyFill="1" applyBorder="1"/>
    <xf numFmtId="0" fontId="30" fillId="6" borderId="9" xfId="5" applyFont="1" applyFill="1" applyBorder="1"/>
    <xf numFmtId="170" fontId="26" fillId="6" borderId="12" xfId="5" applyNumberFormat="1" applyFont="1" applyFill="1" applyBorder="1"/>
    <xf numFmtId="0" fontId="33" fillId="0" borderId="0" xfId="5" applyFont="1"/>
    <xf numFmtId="172" fontId="14" fillId="0" borderId="0" xfId="5" applyNumberFormat="1"/>
    <xf numFmtId="0" fontId="11" fillId="0" borderId="0" xfId="6" applyFont="1" applyAlignment="1"/>
    <xf numFmtId="0" fontId="35" fillId="0" borderId="0" xfId="6" applyFont="1" applyAlignment="1"/>
    <xf numFmtId="0" fontId="36" fillId="0" borderId="0" xfId="6" applyFont="1" applyAlignment="1"/>
    <xf numFmtId="0" fontId="37" fillId="10" borderId="1" xfId="6" applyFont="1" applyFill="1" applyBorder="1" applyAlignment="1">
      <alignment horizontal="center" vertical="center"/>
    </xf>
    <xf numFmtId="0" fontId="37" fillId="11" borderId="1" xfId="6" applyFont="1" applyFill="1" applyBorder="1" applyAlignment="1">
      <alignment horizontal="center" vertical="center"/>
    </xf>
    <xf numFmtId="0" fontId="37" fillId="12" borderId="1" xfId="6" applyFont="1" applyFill="1" applyBorder="1" applyAlignment="1">
      <alignment horizontal="center" vertical="center"/>
    </xf>
    <xf numFmtId="0" fontId="11" fillId="0" borderId="0" xfId="6" applyFont="1" applyAlignment="1">
      <alignment horizontal="left"/>
    </xf>
    <xf numFmtId="0" fontId="37" fillId="13" borderId="1" xfId="6" applyFont="1" applyFill="1" applyBorder="1" applyAlignment="1">
      <alignment horizontal="center" vertical="center"/>
    </xf>
    <xf numFmtId="0" fontId="37" fillId="14" borderId="1" xfId="6" applyFont="1" applyFill="1" applyBorder="1" applyAlignment="1">
      <alignment horizontal="center" vertical="center"/>
    </xf>
    <xf numFmtId="0" fontId="11" fillId="0" borderId="0" xfId="6" applyFont="1" applyBorder="1" applyAlignment="1"/>
    <xf numFmtId="0" fontId="11" fillId="0" borderId="0" xfId="6" applyFont="1" applyBorder="1" applyAlignment="1">
      <alignment vertical="center"/>
    </xf>
    <xf numFmtId="0" fontId="37" fillId="0" borderId="1" xfId="6" applyFont="1" applyBorder="1" applyAlignment="1">
      <alignment horizontal="center" vertical="center"/>
    </xf>
    <xf numFmtId="0" fontId="37" fillId="0" borderId="1" xfId="6" applyFont="1" applyBorder="1" applyAlignment="1">
      <alignment vertical="top"/>
    </xf>
    <xf numFmtId="0" fontId="37" fillId="0" borderId="1" xfId="6" applyFont="1" applyBorder="1" applyAlignment="1">
      <alignment horizontal="left" vertical="top"/>
    </xf>
    <xf numFmtId="0" fontId="37" fillId="0" borderId="1" xfId="6" applyFont="1" applyBorder="1" applyAlignment="1"/>
    <xf numFmtId="0" fontId="37" fillId="0" borderId="1" xfId="6" applyFont="1" applyBorder="1" applyAlignment="1">
      <alignment horizontal="left"/>
    </xf>
    <xf numFmtId="0" fontId="37" fillId="0" borderId="2" xfId="6" applyFont="1" applyBorder="1" applyAlignment="1">
      <alignment horizontal="center" vertical="top"/>
    </xf>
    <xf numFmtId="0" fontId="37" fillId="0" borderId="2" xfId="6" applyFont="1" applyBorder="1" applyAlignment="1">
      <alignment horizontal="left" vertical="top" wrapText="1"/>
    </xf>
    <xf numFmtId="0" fontId="37" fillId="0" borderId="6" xfId="6" applyFont="1" applyBorder="1" applyAlignment="1">
      <alignment vertical="top"/>
    </xf>
    <xf numFmtId="0" fontId="37" fillId="0" borderId="6" xfId="6" applyFont="1" applyBorder="1" applyAlignment="1"/>
    <xf numFmtId="0" fontId="37" fillId="0" borderId="1" xfId="6" applyFont="1" applyBorder="1" applyAlignment="1">
      <alignment horizontal="center" vertical="top"/>
    </xf>
    <xf numFmtId="0" fontId="37" fillId="0" borderId="5" xfId="6" applyFont="1" applyBorder="1" applyAlignment="1">
      <alignment horizontal="right"/>
    </xf>
    <xf numFmtId="0" fontId="37" fillId="0" borderId="1" xfId="6" applyFont="1" applyBorder="1" applyAlignment="1">
      <alignment horizontal="center"/>
    </xf>
    <xf numFmtId="4" fontId="38" fillId="0" borderId="1" xfId="6" applyNumberFormat="1" applyFont="1" applyBorder="1" applyAlignment="1">
      <alignment horizontal="center" vertical="top"/>
    </xf>
    <xf numFmtId="167" fontId="26" fillId="6" borderId="19" xfId="5" applyNumberFormat="1" applyFont="1" applyFill="1" applyBorder="1" applyAlignment="1">
      <alignment horizontal="right"/>
    </xf>
    <xf numFmtId="4" fontId="37" fillId="0" borderId="1" xfId="6" applyNumberFormat="1" applyFont="1" applyBorder="1" applyAlignment="1">
      <alignment horizontal="center"/>
    </xf>
    <xf numFmtId="0" fontId="14" fillId="0" borderId="0" xfId="5" applyAlignment="1">
      <alignment wrapText="1"/>
    </xf>
    <xf numFmtId="0" fontId="12" fillId="0" borderId="0" xfId="5" applyFont="1" applyBorder="1" applyAlignment="1"/>
    <xf numFmtId="0" fontId="42" fillId="0" borderId="0" xfId="5" applyFont="1" applyBorder="1" applyAlignment="1"/>
    <xf numFmtId="0" fontId="12" fillId="0" borderId="0" xfId="5" applyFont="1" applyBorder="1" applyAlignment="1">
      <alignment horizontal="left"/>
    </xf>
    <xf numFmtId="0" fontId="14" fillId="0" borderId="0" xfId="5" applyBorder="1"/>
    <xf numFmtId="0" fontId="15" fillId="0" borderId="14" xfId="5" applyFont="1" applyBorder="1"/>
    <xf numFmtId="0" fontId="14" fillId="0" borderId="36" xfId="5" applyBorder="1"/>
    <xf numFmtId="0" fontId="15" fillId="0" borderId="1" xfId="5" applyFont="1" applyBorder="1" applyAlignment="1">
      <alignment horizontal="center" vertical="center" wrapText="1"/>
    </xf>
    <xf numFmtId="0" fontId="14" fillId="0" borderId="0" xfId="5" applyFont="1" applyBorder="1"/>
    <xf numFmtId="0" fontId="14" fillId="0" borderId="0" xfId="5" applyFont="1"/>
    <xf numFmtId="0" fontId="15" fillId="0" borderId="32" xfId="5" applyFont="1" applyBorder="1"/>
    <xf numFmtId="4" fontId="15" fillId="0" borderId="0" xfId="5" applyNumberFormat="1" applyFont="1"/>
    <xf numFmtId="4" fontId="15" fillId="0" borderId="32" xfId="5" applyNumberFormat="1" applyFont="1" applyBorder="1"/>
    <xf numFmtId="0" fontId="15" fillId="0" borderId="1" xfId="5" applyFont="1" applyBorder="1"/>
    <xf numFmtId="173" fontId="15" fillId="0" borderId="1" xfId="5" applyNumberFormat="1" applyFont="1" applyBorder="1"/>
    <xf numFmtId="0" fontId="15" fillId="0" borderId="2" xfId="5" applyFont="1" applyBorder="1"/>
    <xf numFmtId="0" fontId="15" fillId="0" borderId="37" xfId="5" applyFont="1" applyBorder="1"/>
    <xf numFmtId="0" fontId="15" fillId="0" borderId="28" xfId="5" applyFont="1" applyBorder="1"/>
    <xf numFmtId="4" fontId="15" fillId="0" borderId="14" xfId="5" applyNumberFormat="1" applyFont="1" applyBorder="1"/>
    <xf numFmtId="4" fontId="15" fillId="0" borderId="28" xfId="5" applyNumberFormat="1" applyFont="1" applyBorder="1"/>
    <xf numFmtId="0" fontId="15" fillId="0" borderId="0" xfId="5" applyFont="1" applyBorder="1"/>
    <xf numFmtId="0" fontId="15" fillId="0" borderId="5" xfId="5" applyFont="1" applyBorder="1"/>
    <xf numFmtId="0" fontId="15" fillId="0" borderId="6" xfId="5" applyFont="1" applyBorder="1"/>
    <xf numFmtId="4" fontId="15" fillId="0" borderId="0" xfId="5" applyNumberFormat="1" applyFont="1" applyBorder="1" applyAlignment="1">
      <alignment horizontal="center" vertical="center" wrapText="1"/>
    </xf>
    <xf numFmtId="4" fontId="15" fillId="0" borderId="32" xfId="5" applyNumberFormat="1" applyFont="1" applyBorder="1" applyAlignment="1">
      <alignment horizontal="center" vertical="center" wrapText="1"/>
    </xf>
    <xf numFmtId="0" fontId="15" fillId="0" borderId="3" xfId="5" applyFont="1" applyBorder="1"/>
    <xf numFmtId="4" fontId="15" fillId="0" borderId="14" xfId="5" applyNumberFormat="1" applyFont="1" applyBorder="1" applyAlignment="1">
      <alignment horizontal="center" vertical="center" wrapText="1"/>
    </xf>
    <xf numFmtId="4" fontId="15" fillId="0" borderId="28" xfId="5" applyNumberFormat="1" applyFont="1" applyBorder="1" applyAlignment="1">
      <alignment horizontal="center" vertical="center" wrapText="1"/>
    </xf>
    <xf numFmtId="0" fontId="15" fillId="0" borderId="31" xfId="5" applyFont="1" applyBorder="1"/>
    <xf numFmtId="0" fontId="15" fillId="0" borderId="34" xfId="5" applyFont="1" applyBorder="1"/>
    <xf numFmtId="0" fontId="15" fillId="0" borderId="36" xfId="5" applyFont="1" applyBorder="1"/>
    <xf numFmtId="4" fontId="15" fillId="0" borderId="36" xfId="5" applyNumberFormat="1" applyFont="1" applyBorder="1" applyAlignment="1">
      <alignment horizontal="center" vertical="center" wrapText="1"/>
    </xf>
    <xf numFmtId="4" fontId="14" fillId="0" borderId="0" xfId="5" applyNumberFormat="1"/>
    <xf numFmtId="4" fontId="14" fillId="0" borderId="32" xfId="5" applyNumberFormat="1" applyBorder="1"/>
    <xf numFmtId="0" fontId="14" fillId="0" borderId="37" xfId="5" applyBorder="1"/>
    <xf numFmtId="0" fontId="14" fillId="0" borderId="14" xfId="5" applyBorder="1"/>
    <xf numFmtId="4" fontId="14" fillId="0" borderId="28" xfId="5" applyNumberFormat="1" applyBorder="1"/>
    <xf numFmtId="0" fontId="15" fillId="0" borderId="0" xfId="5" applyFont="1" applyAlignment="1">
      <alignment horizontal="center" vertical="center"/>
    </xf>
    <xf numFmtId="0" fontId="15" fillId="0" borderId="32" xfId="5" applyFont="1" applyBorder="1" applyAlignment="1">
      <alignment horizontal="center" vertical="center"/>
    </xf>
    <xf numFmtId="0" fontId="15" fillId="0" borderId="37" xfId="5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/>
    </xf>
    <xf numFmtId="0" fontId="15" fillId="0" borderId="28" xfId="5" applyFont="1" applyBorder="1" applyAlignment="1">
      <alignment horizontal="center" vertical="center"/>
    </xf>
    <xf numFmtId="171" fontId="23" fillId="3" borderId="1" xfId="5" applyNumberFormat="1" applyFont="1" applyFill="1" applyBorder="1" applyAlignment="1">
      <alignment horizontal="center" vertical="center" wrapText="1"/>
    </xf>
    <xf numFmtId="173" fontId="23" fillId="3" borderId="1" xfId="5" applyNumberFormat="1" applyFont="1" applyFill="1" applyBorder="1" applyAlignment="1">
      <alignment horizontal="center" vertical="center" wrapText="1"/>
    </xf>
    <xf numFmtId="171" fontId="29" fillId="8" borderId="11" xfId="5" applyNumberFormat="1" applyFont="1" applyFill="1" applyBorder="1" applyAlignment="1">
      <alignment horizontal="center" vertical="center"/>
    </xf>
    <xf numFmtId="0" fontId="46" fillId="0" borderId="0" xfId="5" applyFont="1" applyAlignment="1">
      <alignment horizontal="center" vertical="top"/>
    </xf>
    <xf numFmtId="49" fontId="46" fillId="0" borderId="0" xfId="5" applyNumberFormat="1" applyFont="1" applyAlignment="1">
      <alignment horizontal="left" vertical="top"/>
    </xf>
    <xf numFmtId="0" fontId="46" fillId="0" borderId="0" xfId="5" applyFont="1" applyAlignment="1">
      <alignment horizontal="center" vertical="center"/>
    </xf>
    <xf numFmtId="0" fontId="46" fillId="0" borderId="0" xfId="5" applyFont="1"/>
    <xf numFmtId="0" fontId="46" fillId="0" borderId="0" xfId="5" applyFont="1" applyAlignment="1">
      <alignment horizontal="right" vertical="top"/>
    </xf>
    <xf numFmtId="0" fontId="19" fillId="0" borderId="0" xfId="5" applyFont="1" applyAlignment="1">
      <alignment horizontal="center" vertical="center"/>
    </xf>
    <xf numFmtId="0" fontId="46" fillId="0" borderId="0" xfId="5" applyFont="1" applyAlignment="1">
      <alignment horizontal="right" vertical="center"/>
    </xf>
    <xf numFmtId="0" fontId="48" fillId="0" borderId="0" xfId="5" applyFont="1" applyAlignment="1">
      <alignment horizontal="center" vertical="center"/>
    </xf>
    <xf numFmtId="175" fontId="46" fillId="0" borderId="0" xfId="5" applyNumberFormat="1" applyFont="1"/>
    <xf numFmtId="0" fontId="46" fillId="0" borderId="3" xfId="5" applyFont="1" applyBorder="1" applyAlignment="1">
      <alignment horizontal="center" vertical="center"/>
    </xf>
    <xf numFmtId="49" fontId="46" fillId="0" borderId="3" xfId="5" applyNumberFormat="1" applyFont="1" applyBorder="1" applyAlignment="1">
      <alignment horizontal="center" vertical="center"/>
    </xf>
    <xf numFmtId="0" fontId="46" fillId="0" borderId="1" xfId="5" applyFont="1" applyBorder="1" applyAlignment="1">
      <alignment horizontal="center" vertical="top" wrapText="1"/>
    </xf>
    <xf numFmtId="49" fontId="46" fillId="0" borderId="1" xfId="5" applyNumberFormat="1" applyFont="1" applyBorder="1" applyAlignment="1">
      <alignment horizontal="left" vertical="top" wrapText="1"/>
    </xf>
    <xf numFmtId="0" fontId="46" fillId="0" borderId="1" xfId="5" applyFont="1" applyBorder="1" applyAlignment="1">
      <alignment horizontal="right" vertical="top"/>
    </xf>
    <xf numFmtId="0" fontId="46" fillId="0" borderId="1" xfId="5" applyFont="1" applyBorder="1" applyAlignment="1">
      <alignment horizontal="right" vertical="top" wrapText="1"/>
    </xf>
    <xf numFmtId="0" fontId="46" fillId="0" borderId="1" xfId="5" applyFont="1" applyBorder="1" applyAlignment="1">
      <alignment horizontal="center" vertical="top"/>
    </xf>
    <xf numFmtId="4" fontId="46" fillId="0" borderId="0" xfId="5" applyNumberFormat="1" applyFont="1"/>
    <xf numFmtId="4" fontId="46" fillId="0" borderId="1" xfId="5" applyNumberFormat="1" applyFont="1" applyBorder="1" applyAlignment="1">
      <alignment horizontal="right" vertical="top" wrapText="1"/>
    </xf>
    <xf numFmtId="4" fontId="46" fillId="0" borderId="1" xfId="5" applyNumberFormat="1" applyFont="1" applyBorder="1" applyAlignment="1">
      <alignment horizontal="right" vertical="top"/>
    </xf>
    <xf numFmtId="0" fontId="3" fillId="0" borderId="0" xfId="9" applyFont="1"/>
    <xf numFmtId="2" fontId="2" fillId="2" borderId="1" xfId="2" applyNumberFormat="1" applyFont="1" applyFill="1" applyBorder="1" applyAlignment="1">
      <alignment horizontal="center"/>
    </xf>
    <xf numFmtId="0" fontId="49" fillId="0" borderId="0" xfId="0" applyFont="1"/>
    <xf numFmtId="0" fontId="45" fillId="0" borderId="0" xfId="0" applyFont="1" applyBorder="1" applyAlignment="1">
      <alignment horizontal="left" vertical="top"/>
    </xf>
    <xf numFmtId="0" fontId="45" fillId="0" borderId="0" xfId="5" applyFont="1"/>
    <xf numFmtId="0" fontId="49" fillId="0" borderId="0" xfId="0" applyFont="1" applyAlignment="1">
      <alignment horizontal="left" vertical="top"/>
    </xf>
    <xf numFmtId="0" fontId="45" fillId="0" borderId="0" xfId="5" applyFont="1" applyAlignment="1">
      <alignment horizontal="left" vertical="top"/>
    </xf>
    <xf numFmtId="0" fontId="45" fillId="0" borderId="0" xfId="5" applyFont="1" applyAlignment="1">
      <alignment horizontal="right" vertical="top"/>
    </xf>
    <xf numFmtId="0" fontId="49" fillId="0" borderId="0" xfId="0" applyFont="1" applyAlignment="1">
      <alignment vertical="top"/>
    </xf>
    <xf numFmtId="0" fontId="45" fillId="0" borderId="0" xfId="5" applyFont="1" applyAlignment="1">
      <alignment vertical="top" wrapText="1"/>
    </xf>
    <xf numFmtId="0" fontId="49" fillId="0" borderId="0" xfId="0" applyFont="1" applyAlignment="1">
      <alignment wrapText="1"/>
    </xf>
    <xf numFmtId="0" fontId="49" fillId="0" borderId="0" xfId="0" applyFont="1" applyAlignment="1">
      <alignment horizontal="left" vertical="top" wrapText="1"/>
    </xf>
    <xf numFmtId="0" fontId="49" fillId="0" borderId="0" xfId="0" applyFont="1" applyAlignment="1">
      <alignment vertical="top" wrapText="1"/>
    </xf>
    <xf numFmtId="0" fontId="45" fillId="0" borderId="0" xfId="0" applyFont="1" applyAlignment="1">
      <alignment horizontal="left" vertical="top"/>
    </xf>
    <xf numFmtId="0" fontId="46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46" fillId="0" borderId="0" xfId="5" applyFont="1" applyAlignment="1">
      <alignment horizontal="left" vertical="top"/>
    </xf>
    <xf numFmtId="0" fontId="2" fillId="0" borderId="0" xfId="0" applyFont="1" applyAlignment="1">
      <alignment vertical="top"/>
    </xf>
    <xf numFmtId="0" fontId="46" fillId="0" borderId="0" xfId="5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6" fillId="0" borderId="0" xfId="0" applyFont="1" applyAlignment="1">
      <alignment horizontal="left" vertical="top"/>
    </xf>
    <xf numFmtId="0" fontId="30" fillId="0" borderId="0" xfId="5" applyFont="1"/>
    <xf numFmtId="0" fontId="50" fillId="0" borderId="0" xfId="5" applyFont="1"/>
    <xf numFmtId="49" fontId="51" fillId="0" borderId="0" xfId="5" applyNumberFormat="1" applyFont="1" applyAlignment="1">
      <alignment vertical="top"/>
    </xf>
    <xf numFmtId="0" fontId="51" fillId="0" borderId="0" xfId="5" applyFont="1" applyAlignment="1"/>
    <xf numFmtId="0" fontId="51" fillId="0" borderId="0" xfId="5" applyFont="1" applyAlignment="1">
      <alignment vertical="top"/>
    </xf>
    <xf numFmtId="0" fontId="51" fillId="0" borderId="0" xfId="5" applyFont="1" applyAlignment="1">
      <alignment vertical="center"/>
    </xf>
    <xf numFmtId="49" fontId="47" fillId="0" borderId="1" xfId="5" applyNumberFormat="1" applyFont="1" applyBorder="1" applyAlignment="1">
      <alignment horizontal="right" vertical="top" wrapText="1"/>
    </xf>
    <xf numFmtId="0" fontId="46" fillId="0" borderId="1" xfId="5" applyFont="1" applyBorder="1" applyAlignment="1">
      <alignment vertical="top" wrapText="1"/>
    </xf>
    <xf numFmtId="0" fontId="47" fillId="0" borderId="1" xfId="5" applyFont="1" applyBorder="1" applyAlignment="1">
      <alignment horizontal="left" vertical="top" wrapText="1"/>
    </xf>
    <xf numFmtId="0" fontId="46" fillId="0" borderId="1" xfId="5" applyFont="1" applyBorder="1" applyAlignment="1">
      <alignment horizontal="left" vertical="top" wrapText="1"/>
    </xf>
    <xf numFmtId="0" fontId="51" fillId="0" borderId="14" xfId="5" applyFont="1" applyBorder="1" applyAlignment="1">
      <alignment horizontal="center" vertical="center" wrapText="1"/>
    </xf>
    <xf numFmtId="0" fontId="46" fillId="0" borderId="1" xfId="5" applyFont="1" applyBorder="1" applyAlignment="1">
      <alignment horizontal="center" vertical="center" wrapText="1"/>
    </xf>
    <xf numFmtId="49" fontId="46" fillId="0" borderId="1" xfId="5" applyNumberFormat="1" applyFont="1" applyBorder="1" applyAlignment="1">
      <alignment horizontal="center" vertical="center" wrapText="1"/>
    </xf>
    <xf numFmtId="0" fontId="46" fillId="0" borderId="1" xfId="5" applyFont="1" applyBorder="1" applyAlignment="1">
      <alignment horizontal="center" vertical="center"/>
    </xf>
    <xf numFmtId="0" fontId="13" fillId="0" borderId="0" xfId="1" applyFont="1" applyAlignment="1">
      <alignment horizontal="center" wrapText="1"/>
    </xf>
    <xf numFmtId="0" fontId="16" fillId="0" borderId="0" xfId="0" applyFont="1" applyAlignment="1">
      <alignment horizontal="left"/>
    </xf>
    <xf numFmtId="0" fontId="9" fillId="0" borderId="0" xfId="2" applyFont="1" applyAlignment="1">
      <alignment horizontal="left"/>
    </xf>
    <xf numFmtId="0" fontId="9" fillId="0" borderId="0" xfId="1" applyFont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8" fillId="0" borderId="1" xfId="2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7" fillId="0" borderId="0" xfId="2" applyFont="1" applyAlignment="1">
      <alignment vertical="top" wrapText="1"/>
    </xf>
    <xf numFmtId="0" fontId="2" fillId="0" borderId="3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18" fillId="0" borderId="1" xfId="2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0" fillId="0" borderId="18" xfId="5" applyFont="1" applyBorder="1" applyAlignment="1">
      <alignment horizontal="left" vertical="center" wrapText="1"/>
    </xf>
    <xf numFmtId="0" fontId="30" fillId="0" borderId="5" xfId="5" applyFont="1" applyBorder="1" applyAlignment="1">
      <alignment horizontal="left" vertical="center" wrapText="1"/>
    </xf>
    <xf numFmtId="49" fontId="26" fillId="0" borderId="8" xfId="5" applyNumberFormat="1" applyFont="1" applyFill="1" applyBorder="1" applyAlignment="1">
      <alignment horizontal="center" vertical="center" wrapText="1"/>
    </xf>
    <xf numFmtId="49" fontId="14" fillId="0" borderId="9" xfId="5" applyNumberFormat="1" applyFill="1" applyBorder="1" applyAlignment="1">
      <alignment horizontal="center" vertical="center"/>
    </xf>
    <xf numFmtId="0" fontId="29" fillId="0" borderId="4" xfId="5" applyFont="1" applyBorder="1" applyAlignment="1">
      <alignment horizontal="left" vertical="center"/>
    </xf>
    <xf numFmtId="0" fontId="29" fillId="0" borderId="6" xfId="5" applyFont="1" applyBorder="1" applyAlignment="1">
      <alignment horizontal="left" vertical="center"/>
    </xf>
    <xf numFmtId="0" fontId="26" fillId="0" borderId="8" xfId="5" applyFont="1" applyFill="1" applyBorder="1" applyAlignment="1">
      <alignment horizontal="center" vertical="center" wrapText="1"/>
    </xf>
    <xf numFmtId="0" fontId="26" fillId="0" borderId="9" xfId="5" applyFont="1" applyFill="1" applyBorder="1" applyAlignment="1">
      <alignment horizontal="center" vertical="center" wrapText="1"/>
    </xf>
    <xf numFmtId="0" fontId="29" fillId="0" borderId="18" xfId="5" applyFont="1" applyBorder="1" applyAlignment="1">
      <alignment horizontal="left" vertical="center" wrapText="1"/>
    </xf>
    <xf numFmtId="0" fontId="29" fillId="0" borderId="5" xfId="5" applyFont="1" applyBorder="1" applyAlignment="1">
      <alignment horizontal="left" vertical="center" wrapText="1"/>
    </xf>
    <xf numFmtId="0" fontId="29" fillId="0" borderId="6" xfId="5" applyFont="1" applyBorder="1" applyAlignment="1">
      <alignment horizontal="left" vertical="center" wrapText="1"/>
    </xf>
    <xf numFmtId="0" fontId="40" fillId="0" borderId="18" xfId="5" applyFont="1" applyBorder="1" applyAlignment="1">
      <alignment horizontal="left" vertical="center" wrapText="1"/>
    </xf>
    <xf numFmtId="173" fontId="32" fillId="9" borderId="38" xfId="6" applyNumberFormat="1" applyFont="1" applyFill="1" applyBorder="1" applyAlignment="1">
      <alignment horizontal="center" vertical="center" wrapText="1"/>
    </xf>
    <xf numFmtId="173" fontId="32" fillId="9" borderId="22" xfId="6" applyNumberFormat="1" applyFont="1" applyFill="1" applyBorder="1" applyAlignment="1">
      <alignment horizontal="center" vertical="center" wrapText="1"/>
    </xf>
    <xf numFmtId="0" fontId="23" fillId="0" borderId="7" xfId="5" applyFont="1" applyBorder="1" applyAlignment="1">
      <alignment horizontal="left" vertical="center" wrapText="1"/>
    </xf>
    <xf numFmtId="0" fontId="23" fillId="0" borderId="0" xfId="5" applyFont="1" applyBorder="1" applyAlignment="1">
      <alignment horizontal="left" vertical="center" wrapText="1"/>
    </xf>
    <xf numFmtId="0" fontId="19" fillId="0" borderId="0" xfId="5" applyFont="1" applyAlignment="1"/>
    <xf numFmtId="0" fontId="14" fillId="0" borderId="0" xfId="5" applyAlignment="1"/>
    <xf numFmtId="0" fontId="15" fillId="0" borderId="0" xfId="5" applyFont="1" applyAlignment="1"/>
    <xf numFmtId="0" fontId="20" fillId="0" borderId="0" xfId="5" applyFont="1" applyBorder="1" applyAlignment="1">
      <alignment horizontal="center"/>
    </xf>
    <xf numFmtId="0" fontId="20" fillId="0" borderId="0" xfId="5" applyFont="1" applyBorder="1" applyAlignment="1">
      <alignment horizontal="center" vertical="top"/>
    </xf>
    <xf numFmtId="0" fontId="24" fillId="0" borderId="0" xfId="5" applyFont="1" applyBorder="1" applyAlignment="1">
      <alignment horizontal="left" vertical="center" wrapText="1"/>
    </xf>
    <xf numFmtId="0" fontId="38" fillId="0" borderId="4" xfId="6" applyFont="1" applyBorder="1" applyAlignment="1">
      <alignment horizontal="left"/>
    </xf>
    <xf numFmtId="0" fontId="38" fillId="0" borderId="5" xfId="6" applyFont="1" applyBorder="1" applyAlignment="1">
      <alignment horizontal="left"/>
    </xf>
    <xf numFmtId="0" fontId="38" fillId="0" borderId="6" xfId="6" applyFont="1" applyBorder="1" applyAlignment="1">
      <alignment horizontal="left"/>
    </xf>
    <xf numFmtId="0" fontId="37" fillId="0" borderId="3" xfId="6" applyFont="1" applyBorder="1" applyAlignment="1">
      <alignment horizontal="center" vertical="top"/>
    </xf>
    <xf numFmtId="0" fontId="37" fillId="0" borderId="34" xfId="6" applyFont="1" applyBorder="1" applyAlignment="1">
      <alignment horizontal="center" vertical="top"/>
    </xf>
    <xf numFmtId="0" fontId="37" fillId="0" borderId="2" xfId="6" applyFont="1" applyBorder="1" applyAlignment="1">
      <alignment horizontal="center" vertical="top"/>
    </xf>
    <xf numFmtId="0" fontId="37" fillId="0" borderId="1" xfId="6" applyFont="1" applyBorder="1" applyAlignment="1">
      <alignment horizontal="center" vertical="top"/>
    </xf>
    <xf numFmtId="0" fontId="37" fillId="0" borderId="4" xfId="6" applyFont="1" applyBorder="1" applyAlignment="1">
      <alignment horizontal="left" vertical="top" wrapText="1"/>
    </xf>
    <xf numFmtId="0" fontId="37" fillId="0" borderId="5" xfId="6" applyFont="1" applyBorder="1" applyAlignment="1">
      <alignment horizontal="left" vertical="top" wrapText="1"/>
    </xf>
    <xf numFmtId="0" fontId="37" fillId="0" borderId="6" xfId="6" applyFont="1" applyBorder="1" applyAlignment="1">
      <alignment horizontal="left" vertical="top" wrapText="1"/>
    </xf>
    <xf numFmtId="0" fontId="37" fillId="0" borderId="4" xfId="6" applyFont="1" applyFill="1" applyBorder="1" applyAlignment="1">
      <alignment horizontal="left" vertical="center" wrapText="1"/>
    </xf>
    <xf numFmtId="0" fontId="37" fillId="0" borderId="5" xfId="6" applyFont="1" applyFill="1" applyBorder="1" applyAlignment="1">
      <alignment horizontal="left" vertical="center" wrapText="1"/>
    </xf>
    <xf numFmtId="0" fontId="37" fillId="0" borderId="5" xfId="6" applyFont="1" applyBorder="1" applyAlignment="1">
      <alignment horizontal="left"/>
    </xf>
    <xf numFmtId="0" fontId="37" fillId="0" borderId="6" xfId="6" applyFont="1" applyBorder="1" applyAlignment="1">
      <alignment horizontal="left"/>
    </xf>
    <xf numFmtId="0" fontId="37" fillId="0" borderId="35" xfId="6" applyFont="1" applyBorder="1" applyAlignment="1">
      <alignment horizontal="left" vertical="top" wrapText="1"/>
    </xf>
    <xf numFmtId="0" fontId="37" fillId="0" borderId="36" xfId="6" applyFont="1" applyBorder="1" applyAlignment="1">
      <alignment horizontal="left" vertical="top" wrapText="1"/>
    </xf>
    <xf numFmtId="0" fontId="37" fillId="0" borderId="37" xfId="6" applyFont="1" applyBorder="1" applyAlignment="1">
      <alignment horizontal="left" vertical="top" wrapText="1"/>
    </xf>
    <xf numFmtId="0" fontId="37" fillId="0" borderId="1" xfId="6" applyFont="1" applyBorder="1" applyAlignment="1">
      <alignment horizontal="center" vertical="center" wrapText="1"/>
    </xf>
    <xf numFmtId="0" fontId="37" fillId="0" borderId="1" xfId="6" applyFont="1" applyBorder="1" applyAlignment="1">
      <alignment horizontal="center" vertical="center"/>
    </xf>
    <xf numFmtId="0" fontId="37" fillId="0" borderId="3" xfId="6" applyFont="1" applyBorder="1" applyAlignment="1">
      <alignment horizontal="left" vertical="top" wrapText="1"/>
    </xf>
    <xf numFmtId="0" fontId="37" fillId="0" borderId="34" xfId="6" applyFont="1" applyBorder="1" applyAlignment="1">
      <alignment horizontal="left" vertical="top" wrapText="1"/>
    </xf>
    <xf numFmtId="0" fontId="37" fillId="0" borderId="2" xfId="6" applyFont="1" applyBorder="1" applyAlignment="1">
      <alignment horizontal="left" vertical="top" wrapText="1"/>
    </xf>
    <xf numFmtId="0" fontId="37" fillId="0" borderId="3" xfId="6" applyFont="1" applyBorder="1" applyAlignment="1">
      <alignment horizontal="center" vertical="center" wrapText="1"/>
    </xf>
    <xf numFmtId="0" fontId="37" fillId="0" borderId="2" xfId="6" applyFont="1" applyBorder="1" applyAlignment="1">
      <alignment horizontal="center" vertical="center" wrapText="1"/>
    </xf>
    <xf numFmtId="0" fontId="35" fillId="0" borderId="0" xfId="6" applyFont="1" applyAlignment="1">
      <alignment horizontal="center" wrapText="1"/>
    </xf>
    <xf numFmtId="0" fontId="35" fillId="0" borderId="0" xfId="6" applyFont="1" applyAlignment="1">
      <alignment horizontal="center"/>
    </xf>
    <xf numFmtId="0" fontId="37" fillId="0" borderId="0" xfId="6" applyFont="1" applyAlignment="1">
      <alignment horizontal="left" wrapText="1"/>
    </xf>
    <xf numFmtId="0" fontId="11" fillId="0" borderId="0" xfId="6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9" fillId="0" borderId="4" xfId="5" applyFont="1" applyBorder="1" applyAlignment="1">
      <alignment horizontal="left"/>
    </xf>
    <xf numFmtId="0" fontId="19" fillId="0" borderId="5" xfId="5" applyFont="1" applyBorder="1" applyAlignment="1">
      <alignment horizontal="left"/>
    </xf>
    <xf numFmtId="0" fontId="19" fillId="0" borderId="6" xfId="5" applyFont="1" applyBorder="1" applyAlignment="1">
      <alignment horizontal="left"/>
    </xf>
    <xf numFmtId="4" fontId="19" fillId="0" borderId="4" xfId="5" applyNumberFormat="1" applyFont="1" applyBorder="1" applyAlignment="1">
      <alignment horizontal="center"/>
    </xf>
    <xf numFmtId="4" fontId="19" fillId="0" borderId="6" xfId="5" applyNumberFormat="1" applyFont="1" applyBorder="1" applyAlignment="1">
      <alignment horizontal="center"/>
    </xf>
    <xf numFmtId="4" fontId="44" fillId="0" borderId="4" xfId="5" applyNumberFormat="1" applyFont="1" applyBorder="1" applyAlignment="1">
      <alignment horizontal="center"/>
    </xf>
    <xf numFmtId="4" fontId="44" fillId="0" borderId="6" xfId="5" applyNumberFormat="1" applyFont="1" applyBorder="1" applyAlignment="1">
      <alignment horizontal="center"/>
    </xf>
    <xf numFmtId="0" fontId="44" fillId="0" borderId="4" xfId="5" applyFont="1" applyBorder="1" applyAlignment="1">
      <alignment horizontal="left"/>
    </xf>
    <xf numFmtId="0" fontId="44" fillId="0" borderId="5" xfId="5" applyFont="1" applyBorder="1" applyAlignment="1">
      <alignment horizontal="left"/>
    </xf>
    <xf numFmtId="0" fontId="44" fillId="0" borderId="6" xfId="5" applyFont="1" applyBorder="1" applyAlignment="1">
      <alignment horizontal="left"/>
    </xf>
    <xf numFmtId="0" fontId="15" fillId="0" borderId="3" xfId="5" applyFont="1" applyBorder="1" applyAlignment="1">
      <alignment horizontal="center" vertical="center" wrapText="1"/>
    </xf>
    <xf numFmtId="0" fontId="15" fillId="0" borderId="34" xfId="5" applyFont="1" applyBorder="1" applyAlignment="1">
      <alignment horizontal="center" vertical="center" wrapText="1"/>
    </xf>
    <xf numFmtId="0" fontId="15" fillId="0" borderId="2" xfId="5" applyFont="1" applyBorder="1" applyAlignment="1">
      <alignment horizontal="center" vertical="center" wrapText="1"/>
    </xf>
    <xf numFmtId="0" fontId="45" fillId="0" borderId="35" xfId="5" applyFont="1" applyBorder="1" applyAlignment="1">
      <alignment horizontal="center" vertical="center" wrapText="1"/>
    </xf>
    <xf numFmtId="0" fontId="45" fillId="0" borderId="31" xfId="5" applyFont="1" applyBorder="1" applyAlignment="1">
      <alignment horizontal="center" vertical="center" wrapText="1"/>
    </xf>
    <xf numFmtId="0" fontId="45" fillId="0" borderId="39" xfId="5" applyFont="1" applyBorder="1" applyAlignment="1">
      <alignment horizontal="center" vertical="center" wrapText="1"/>
    </xf>
    <xf numFmtId="0" fontId="45" fillId="0" borderId="36" xfId="5" applyFont="1" applyBorder="1" applyAlignment="1">
      <alignment horizontal="center" vertical="center" wrapText="1"/>
    </xf>
    <xf numFmtId="0" fontId="45" fillId="0" borderId="0" xfId="5" applyFont="1" applyBorder="1" applyAlignment="1">
      <alignment horizontal="center" vertical="center" wrapText="1"/>
    </xf>
    <xf numFmtId="0" fontId="45" fillId="0" borderId="32" xfId="5" applyFont="1" applyBorder="1" applyAlignment="1">
      <alignment horizontal="center" vertical="center" wrapText="1"/>
    </xf>
    <xf numFmtId="0" fontId="45" fillId="0" borderId="37" xfId="5" applyFont="1" applyBorder="1" applyAlignment="1">
      <alignment horizontal="center" vertical="center" wrapText="1"/>
    </xf>
    <xf numFmtId="0" fontId="45" fillId="0" borderId="14" xfId="5" applyFont="1" applyBorder="1" applyAlignment="1">
      <alignment horizontal="center" vertical="center" wrapText="1"/>
    </xf>
    <xf numFmtId="0" fontId="45" fillId="0" borderId="28" xfId="5" applyFont="1" applyBorder="1" applyAlignment="1">
      <alignment horizontal="center" vertical="center" wrapText="1"/>
    </xf>
    <xf numFmtId="0" fontId="15" fillId="0" borderId="35" xfId="5" applyFont="1" applyBorder="1" applyAlignment="1">
      <alignment horizontal="right" vertical="center"/>
    </xf>
    <xf numFmtId="0" fontId="15" fillId="0" borderId="31" xfId="5" applyFont="1" applyBorder="1" applyAlignment="1">
      <alignment horizontal="right" vertical="center"/>
    </xf>
    <xf numFmtId="0" fontId="15" fillId="0" borderId="39" xfId="5" applyFont="1" applyBorder="1" applyAlignment="1">
      <alignment horizontal="right" vertical="center"/>
    </xf>
    <xf numFmtId="0" fontId="15" fillId="0" borderId="36" xfId="5" applyFont="1" applyBorder="1" applyAlignment="1">
      <alignment horizontal="right" vertical="center"/>
    </xf>
    <xf numFmtId="0" fontId="15" fillId="0" borderId="0" xfId="5" applyFont="1" applyBorder="1" applyAlignment="1">
      <alignment horizontal="right" vertical="center"/>
    </xf>
    <xf numFmtId="0" fontId="15" fillId="0" borderId="32" xfId="5" applyFont="1" applyBorder="1" applyAlignment="1">
      <alignment horizontal="right" vertical="center"/>
    </xf>
    <xf numFmtId="0" fontId="15" fillId="0" borderId="37" xfId="5" applyFont="1" applyBorder="1" applyAlignment="1">
      <alignment horizontal="right" vertical="center"/>
    </xf>
    <xf numFmtId="0" fontId="15" fillId="0" borderId="14" xfId="5" applyFont="1" applyBorder="1" applyAlignment="1">
      <alignment horizontal="right" vertical="center"/>
    </xf>
    <xf numFmtId="0" fontId="15" fillId="0" borderId="28" xfId="5" applyFont="1" applyBorder="1" applyAlignment="1">
      <alignment horizontal="right" vertical="center"/>
    </xf>
    <xf numFmtId="0" fontId="15" fillId="0" borderId="35" xfId="5" applyFont="1" applyBorder="1" applyAlignment="1">
      <alignment horizontal="center" vertical="center"/>
    </xf>
    <xf numFmtId="0" fontId="15" fillId="0" borderId="31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3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15" fillId="0" borderId="32" xfId="5" applyFont="1" applyBorder="1" applyAlignment="1">
      <alignment horizontal="center" vertical="center"/>
    </xf>
    <xf numFmtId="0" fontId="15" fillId="0" borderId="37" xfId="5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/>
    </xf>
    <xf numFmtId="0" fontId="15" fillId="0" borderId="28" xfId="5" applyFont="1" applyBorder="1" applyAlignment="1">
      <alignment horizontal="center" vertical="center"/>
    </xf>
    <xf numFmtId="4" fontId="15" fillId="0" borderId="35" xfId="5" applyNumberFormat="1" applyFont="1" applyBorder="1" applyAlignment="1">
      <alignment horizontal="center" vertical="center" wrapText="1"/>
    </xf>
    <xf numFmtId="4" fontId="15" fillId="0" borderId="39" xfId="5" applyNumberFormat="1" applyFont="1" applyBorder="1" applyAlignment="1">
      <alignment horizontal="center" vertical="center" wrapText="1"/>
    </xf>
    <xf numFmtId="4" fontId="15" fillId="0" borderId="36" xfId="5" applyNumberFormat="1" applyFont="1" applyBorder="1" applyAlignment="1">
      <alignment horizontal="center" vertical="center" wrapText="1"/>
    </xf>
    <xf numFmtId="4" fontId="15" fillId="0" borderId="32" xfId="5" applyNumberFormat="1" applyFont="1" applyBorder="1" applyAlignment="1">
      <alignment horizontal="center" vertical="center" wrapText="1"/>
    </xf>
    <xf numFmtId="4" fontId="15" fillId="0" borderId="37" xfId="5" applyNumberFormat="1" applyFont="1" applyBorder="1" applyAlignment="1">
      <alignment horizontal="center" vertical="center" wrapText="1"/>
    </xf>
    <xf numFmtId="4" fontId="15" fillId="0" borderId="28" xfId="5" applyNumberFormat="1" applyFont="1" applyBorder="1" applyAlignment="1">
      <alignment horizontal="center" vertical="center" wrapText="1"/>
    </xf>
    <xf numFmtId="0" fontId="15" fillId="0" borderId="31" xfId="5" applyFont="1" applyBorder="1" applyAlignment="1">
      <alignment horizontal="center" vertical="center" wrapText="1"/>
    </xf>
    <xf numFmtId="0" fontId="15" fillId="0" borderId="39" xfId="5" applyFont="1" applyBorder="1" applyAlignment="1">
      <alignment horizontal="center" vertical="center" wrapText="1"/>
    </xf>
    <xf numFmtId="0" fontId="15" fillId="0" borderId="14" xfId="5" applyFont="1" applyBorder="1" applyAlignment="1">
      <alignment horizontal="center" vertical="center" wrapText="1"/>
    </xf>
    <xf numFmtId="0" fontId="15" fillId="0" borderId="28" xfId="5" applyFont="1" applyBorder="1" applyAlignment="1">
      <alignment horizontal="center" vertical="center" wrapText="1"/>
    </xf>
    <xf numFmtId="4" fontId="15" fillId="0" borderId="36" xfId="5" applyNumberFormat="1" applyFont="1" applyBorder="1" applyAlignment="1">
      <alignment horizontal="center"/>
    </xf>
    <xf numFmtId="4" fontId="15" fillId="0" borderId="32" xfId="5" applyNumberFormat="1" applyFont="1" applyBorder="1" applyAlignment="1">
      <alignment horizontal="center"/>
    </xf>
    <xf numFmtId="0" fontId="15" fillId="0" borderId="3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 vertical="center"/>
    </xf>
    <xf numFmtId="4" fontId="15" fillId="0" borderId="35" xfId="5" applyNumberFormat="1" applyFont="1" applyBorder="1" applyAlignment="1">
      <alignment horizontal="center" vertical="center"/>
    </xf>
    <xf numFmtId="4" fontId="15" fillId="0" borderId="39" xfId="5" applyNumberFormat="1" applyFont="1" applyBorder="1" applyAlignment="1">
      <alignment horizontal="center" vertical="center"/>
    </xf>
    <xf numFmtId="4" fontId="15" fillId="0" borderId="37" xfId="5" applyNumberFormat="1" applyFont="1" applyBorder="1" applyAlignment="1">
      <alignment horizontal="center" vertical="center"/>
    </xf>
    <xf numFmtId="4" fontId="15" fillId="0" borderId="28" xfId="5" applyNumberFormat="1" applyFont="1" applyBorder="1" applyAlignment="1">
      <alignment horizontal="center" vertical="center"/>
    </xf>
    <xf numFmtId="0" fontId="15" fillId="0" borderId="35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 wrapText="1"/>
    </xf>
    <xf numFmtId="0" fontId="15" fillId="0" borderId="36" xfId="5" applyFont="1" applyBorder="1" applyAlignment="1">
      <alignment horizontal="center" vertical="center" wrapText="1"/>
    </xf>
    <xf numFmtId="0" fontId="15" fillId="0" borderId="0" xfId="5" applyFont="1" applyBorder="1" applyAlignment="1">
      <alignment horizontal="center" vertical="center" wrapText="1"/>
    </xf>
    <xf numFmtId="0" fontId="15" fillId="0" borderId="32" xfId="5" applyFont="1" applyBorder="1" applyAlignment="1">
      <alignment horizontal="center" vertical="center" wrapText="1"/>
    </xf>
    <xf numFmtId="0" fontId="15" fillId="0" borderId="35" xfId="5" applyFont="1" applyBorder="1" applyAlignment="1">
      <alignment horizontal="left"/>
    </xf>
    <xf numFmtId="0" fontId="15" fillId="0" borderId="39" xfId="5" applyFont="1" applyBorder="1" applyAlignment="1">
      <alignment horizontal="left"/>
    </xf>
    <xf numFmtId="0" fontId="15" fillId="0" borderId="36" xfId="5" applyFont="1" applyBorder="1" applyAlignment="1">
      <alignment horizontal="left"/>
    </xf>
    <xf numFmtId="0" fontId="15" fillId="0" borderId="32" xfId="5" applyFont="1" applyBorder="1" applyAlignment="1">
      <alignment horizontal="left"/>
    </xf>
    <xf numFmtId="0" fontId="15" fillId="0" borderId="36" xfId="5" applyFont="1" applyBorder="1" applyAlignment="1">
      <alignment horizontal="center"/>
    </xf>
    <xf numFmtId="0" fontId="15" fillId="0" borderId="0" xfId="5" applyFont="1" applyAlignment="1">
      <alignment horizontal="center"/>
    </xf>
    <xf numFmtId="0" fontId="15" fillId="0" borderId="32" xfId="5" applyFont="1" applyBorder="1" applyAlignment="1">
      <alignment horizontal="center"/>
    </xf>
    <xf numFmtId="0" fontId="44" fillId="0" borderId="35" xfId="5" applyFont="1" applyBorder="1" applyAlignment="1">
      <alignment horizontal="left"/>
    </xf>
    <xf numFmtId="0" fontId="15" fillId="0" borderId="0" xfId="5" applyFont="1" applyBorder="1" applyAlignment="1">
      <alignment horizontal="left"/>
    </xf>
    <xf numFmtId="0" fontId="15" fillId="0" borderId="4" xfId="5" applyFont="1" applyBorder="1" applyAlignment="1">
      <alignment horizontal="left"/>
    </xf>
    <xf numFmtId="0" fontId="15" fillId="0" borderId="6" xfId="5" applyFont="1" applyBorder="1" applyAlignment="1">
      <alignment horizontal="left"/>
    </xf>
    <xf numFmtId="0" fontId="15" fillId="0" borderId="0" xfId="5" applyFont="1" applyAlignment="1">
      <alignment horizontal="center" vertical="center" wrapText="1"/>
    </xf>
    <xf numFmtId="0" fontId="15" fillId="0" borderId="4" xfId="5" applyFont="1" applyBorder="1" applyAlignment="1">
      <alignment horizontal="center"/>
    </xf>
    <xf numFmtId="0" fontId="15" fillId="0" borderId="6" xfId="5" applyFont="1" applyBorder="1" applyAlignment="1">
      <alignment horizontal="center"/>
    </xf>
    <xf numFmtId="174" fontId="15" fillId="0" borderId="35" xfId="5" applyNumberFormat="1" applyFont="1" applyBorder="1" applyAlignment="1">
      <alignment horizontal="center" vertical="center"/>
    </xf>
    <xf numFmtId="174" fontId="15" fillId="0" borderId="31" xfId="5" applyNumberFormat="1" applyFont="1" applyBorder="1" applyAlignment="1">
      <alignment horizontal="center" vertical="center"/>
    </xf>
    <xf numFmtId="174" fontId="15" fillId="0" borderId="39" xfId="5" applyNumberFormat="1" applyFont="1" applyBorder="1" applyAlignment="1">
      <alignment horizontal="center" vertical="center"/>
    </xf>
    <xf numFmtId="174" fontId="15" fillId="0" borderId="36" xfId="5" applyNumberFormat="1" applyFont="1" applyBorder="1" applyAlignment="1">
      <alignment horizontal="center" vertical="center"/>
    </xf>
    <xf numFmtId="174" fontId="15" fillId="0" borderId="0" xfId="5" applyNumberFormat="1" applyFont="1" applyBorder="1" applyAlignment="1">
      <alignment horizontal="center" vertical="center"/>
    </xf>
    <xf numFmtId="174" fontId="15" fillId="0" borderId="32" xfId="5" applyNumberFormat="1" applyFont="1" applyBorder="1" applyAlignment="1">
      <alignment horizontal="center" vertical="center"/>
    </xf>
    <xf numFmtId="174" fontId="15" fillId="0" borderId="37" xfId="5" applyNumberFormat="1" applyFont="1" applyBorder="1" applyAlignment="1">
      <alignment horizontal="center" vertical="center"/>
    </xf>
    <xf numFmtId="174" fontId="15" fillId="0" borderId="14" xfId="5" applyNumberFormat="1" applyFont="1" applyBorder="1" applyAlignment="1">
      <alignment horizontal="center" vertical="center"/>
    </xf>
    <xf numFmtId="174" fontId="15" fillId="0" borderId="28" xfId="5" applyNumberFormat="1" applyFont="1" applyBorder="1" applyAlignment="1">
      <alignment horizontal="center" vertical="center"/>
    </xf>
    <xf numFmtId="4" fontId="44" fillId="0" borderId="4" xfId="5" applyNumberFormat="1" applyFont="1" applyBorder="1" applyAlignment="1">
      <alignment horizontal="center" vertical="center" wrapText="1"/>
    </xf>
    <xf numFmtId="4" fontId="44" fillId="0" borderId="6" xfId="5" applyNumberFormat="1" applyFont="1" applyBorder="1" applyAlignment="1">
      <alignment horizontal="center" vertical="center" wrapText="1"/>
    </xf>
    <xf numFmtId="0" fontId="15" fillId="0" borderId="35" xfId="5" applyFont="1" applyBorder="1" applyAlignment="1">
      <alignment horizontal="center" vertical="top" wrapText="1"/>
    </xf>
    <xf numFmtId="0" fontId="15" fillId="0" borderId="31" xfId="5" applyFont="1" applyBorder="1" applyAlignment="1">
      <alignment horizontal="center" vertical="top" wrapText="1"/>
    </xf>
    <xf numFmtId="0" fontId="15" fillId="0" borderId="39" xfId="5" applyFont="1" applyBorder="1" applyAlignment="1">
      <alignment horizontal="center" vertical="top" wrapText="1"/>
    </xf>
    <xf numFmtId="0" fontId="15" fillId="0" borderId="36" xfId="5" applyFont="1" applyBorder="1" applyAlignment="1">
      <alignment horizontal="center" vertical="top" wrapText="1"/>
    </xf>
    <xf numFmtId="0" fontId="15" fillId="0" borderId="0" xfId="5" applyFont="1" applyBorder="1" applyAlignment="1">
      <alignment horizontal="center" vertical="top" wrapText="1"/>
    </xf>
    <xf numFmtId="0" fontId="15" fillId="0" borderId="32" xfId="5" applyFont="1" applyBorder="1" applyAlignment="1">
      <alignment horizontal="center" vertical="top" wrapText="1"/>
    </xf>
    <xf numFmtId="0" fontId="15" fillId="0" borderId="37" xfId="5" applyFont="1" applyBorder="1" applyAlignment="1">
      <alignment horizontal="center" vertical="top" wrapText="1"/>
    </xf>
    <xf numFmtId="0" fontId="15" fillId="0" borderId="14" xfId="5" applyFont="1" applyBorder="1" applyAlignment="1">
      <alignment horizontal="center" vertical="top" wrapText="1"/>
    </xf>
    <xf numFmtId="0" fontId="15" fillId="0" borderId="28" xfId="5" applyFont="1" applyBorder="1" applyAlignment="1">
      <alignment horizontal="center" vertical="top" wrapText="1"/>
    </xf>
    <xf numFmtId="0" fontId="15" fillId="0" borderId="4" xfId="5" applyFont="1" applyBorder="1" applyAlignment="1">
      <alignment horizontal="left" vertical="center"/>
    </xf>
    <xf numFmtId="0" fontId="15" fillId="0" borderId="6" xfId="5" applyFont="1" applyBorder="1" applyAlignment="1">
      <alignment horizontal="left" vertical="center"/>
    </xf>
    <xf numFmtId="0" fontId="15" fillId="0" borderId="0" xfId="5" applyFont="1" applyBorder="1" applyAlignment="1">
      <alignment horizontal="center"/>
    </xf>
    <xf numFmtId="0" fontId="15" fillId="0" borderId="4" xfId="5" applyFont="1" applyBorder="1" applyAlignment="1">
      <alignment horizontal="center" vertical="center" wrapText="1"/>
    </xf>
    <xf numFmtId="0" fontId="15" fillId="0" borderId="5" xfId="5" applyFont="1" applyBorder="1" applyAlignment="1">
      <alignment horizontal="center" vertical="center" wrapText="1"/>
    </xf>
    <xf numFmtId="0" fontId="15" fillId="0" borderId="6" xfId="5" applyFont="1" applyBorder="1" applyAlignment="1">
      <alignment horizontal="center" vertical="center" wrapText="1"/>
    </xf>
    <xf numFmtId="0" fontId="15" fillId="0" borderId="4" xfId="5" applyFont="1" applyBorder="1" applyAlignment="1">
      <alignment horizontal="center" vertical="center" wrapText="1" shrinkToFit="1"/>
    </xf>
    <xf numFmtId="0" fontId="15" fillId="0" borderId="5" xfId="5" applyFont="1" applyBorder="1" applyAlignment="1">
      <alignment horizontal="center" vertical="center" wrapText="1" shrinkToFit="1"/>
    </xf>
    <xf numFmtId="0" fontId="15" fillId="0" borderId="6" xfId="5" applyFont="1" applyBorder="1" applyAlignment="1">
      <alignment horizontal="center" vertical="center" wrapText="1" shrinkToFit="1"/>
    </xf>
    <xf numFmtId="0" fontId="19" fillId="0" borderId="0" xfId="5" applyFont="1" applyBorder="1" applyAlignment="1">
      <alignment horizontal="center"/>
    </xf>
    <xf numFmtId="0" fontId="19" fillId="0" borderId="0" xfId="5" applyFont="1" applyAlignment="1">
      <alignment horizontal="center" wrapText="1"/>
    </xf>
    <xf numFmtId="0" fontId="12" fillId="0" borderId="0" xfId="5" applyFont="1" applyAlignment="1">
      <alignment horizontal="left"/>
    </xf>
    <xf numFmtId="0" fontId="42" fillId="0" borderId="0" xfId="5" applyFont="1" applyAlignment="1">
      <alignment horizontal="left"/>
    </xf>
    <xf numFmtId="0" fontId="12" fillId="0" borderId="0" xfId="5" applyFont="1" applyBorder="1" applyAlignment="1">
      <alignment horizontal="left"/>
    </xf>
    <xf numFmtId="0" fontId="43" fillId="0" borderId="3" xfId="5" applyFont="1" applyBorder="1" applyAlignment="1">
      <alignment horizontal="center" vertical="center" wrapText="1"/>
    </xf>
    <xf numFmtId="0" fontId="43" fillId="0" borderId="34" xfId="5" applyFont="1" applyBorder="1" applyAlignment="1">
      <alignment horizontal="center" vertical="center" wrapText="1"/>
    </xf>
    <xf numFmtId="0" fontId="43" fillId="0" borderId="2" xfId="5" applyFont="1" applyBorder="1" applyAlignment="1">
      <alignment horizontal="center" vertical="center" wrapText="1"/>
    </xf>
    <xf numFmtId="0" fontId="43" fillId="0" borderId="35" xfId="5" applyFont="1" applyBorder="1" applyAlignment="1">
      <alignment horizontal="center" vertical="center" wrapText="1"/>
    </xf>
    <xf numFmtId="0" fontId="43" fillId="0" borderId="31" xfId="5" applyFont="1" applyBorder="1" applyAlignment="1">
      <alignment horizontal="center" vertical="center" wrapText="1"/>
    </xf>
    <xf numFmtId="0" fontId="43" fillId="0" borderId="39" xfId="5" applyFont="1" applyBorder="1" applyAlignment="1">
      <alignment horizontal="center" vertical="center" wrapText="1"/>
    </xf>
    <xf numFmtId="0" fontId="43" fillId="0" borderId="36" xfId="5" applyFont="1" applyBorder="1" applyAlignment="1">
      <alignment horizontal="center" vertical="center" wrapText="1"/>
    </xf>
    <xf numFmtId="0" fontId="43" fillId="0" borderId="0" xfId="5" applyFont="1" applyBorder="1" applyAlignment="1">
      <alignment horizontal="center" vertical="center" wrapText="1"/>
    </xf>
    <xf numFmtId="0" fontId="43" fillId="0" borderId="32" xfId="5" applyFont="1" applyBorder="1" applyAlignment="1">
      <alignment horizontal="center" vertical="center" wrapText="1"/>
    </xf>
    <xf numFmtId="0" fontId="43" fillId="0" borderId="37" xfId="5" applyFont="1" applyBorder="1" applyAlignment="1">
      <alignment horizontal="center" vertical="center" wrapText="1"/>
    </xf>
    <xf numFmtId="0" fontId="43" fillId="0" borderId="14" xfId="5" applyFont="1" applyBorder="1" applyAlignment="1">
      <alignment horizontal="center" vertical="center" wrapText="1"/>
    </xf>
    <xf numFmtId="0" fontId="43" fillId="0" borderId="28" xfId="5" applyFont="1" applyBorder="1" applyAlignment="1">
      <alignment horizontal="center" vertical="center" wrapText="1"/>
    </xf>
    <xf numFmtId="0" fontId="43" fillId="0" borderId="31" xfId="5" applyFont="1" applyBorder="1" applyAlignment="1">
      <alignment horizontal="center" vertical="center" wrapText="1" shrinkToFit="1"/>
    </xf>
    <xf numFmtId="0" fontId="43" fillId="0" borderId="39" xfId="5" applyFont="1" applyBorder="1" applyAlignment="1">
      <alignment horizontal="center" vertical="center" wrapText="1" shrinkToFit="1"/>
    </xf>
    <xf numFmtId="0" fontId="43" fillId="0" borderId="0" xfId="5" applyFont="1" applyBorder="1" applyAlignment="1">
      <alignment horizontal="center" vertical="center" wrapText="1" shrinkToFit="1"/>
    </xf>
    <xf numFmtId="0" fontId="43" fillId="0" borderId="32" xfId="5" applyFont="1" applyBorder="1" applyAlignment="1">
      <alignment horizontal="center" vertical="center" wrapText="1" shrinkToFit="1"/>
    </xf>
    <xf numFmtId="0" fontId="43" fillId="0" borderId="14" xfId="5" applyFont="1" applyBorder="1" applyAlignment="1">
      <alignment horizontal="center" vertical="center" wrapText="1" shrinkToFit="1"/>
    </xf>
    <xf numFmtId="0" fontId="43" fillId="0" borderId="28" xfId="5" applyFont="1" applyBorder="1" applyAlignment="1">
      <alignment horizontal="center" vertical="center" wrapText="1" shrinkToFit="1"/>
    </xf>
  </cellXfs>
  <cellStyles count="10">
    <cellStyle name="Обычный" xfId="0" builtinId="0"/>
    <cellStyle name="Обычный 10" xfId="8"/>
    <cellStyle name="Обычный 2" xfId="5"/>
    <cellStyle name="Обычный 2 2" xfId="6"/>
    <cellStyle name="Обычный 2 2 2" xfId="7"/>
    <cellStyle name="Обычный 2 4" xfId="9"/>
    <cellStyle name="Обычный 3 2" xfId="1"/>
    <cellStyle name="Обычный 3 2 2" xfId="3"/>
    <cellStyle name="Обычный 3 5" xfId="2"/>
    <cellStyle name="Обычный 3 5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48"/>
  <sheetViews>
    <sheetView showGridLines="0" tabSelected="1" topLeftCell="A16" zoomScale="85" zoomScaleNormal="85" workbookViewId="0">
      <selection activeCell="A42" sqref="A42:I50"/>
    </sheetView>
  </sheetViews>
  <sheetFormatPr defaultRowHeight="12.75" x14ac:dyDescent="0.2"/>
  <cols>
    <col min="1" max="1" width="5" style="225" customWidth="1"/>
    <col min="2" max="2" width="21.140625" style="226" customWidth="1"/>
    <col min="3" max="3" width="57.7109375" style="226" customWidth="1"/>
    <col min="4" max="4" width="12.28515625" style="229" customWidth="1"/>
    <col min="5" max="5" width="13" style="229" customWidth="1"/>
    <col min="6" max="6" width="13.42578125" style="229" customWidth="1"/>
    <col min="7" max="7" width="12.5703125" style="229" customWidth="1"/>
    <col min="8" max="8" width="17.85546875" style="229" customWidth="1"/>
    <col min="9" max="9" width="14.140625" style="228" customWidth="1"/>
    <col min="10" max="10" width="11.85546875" style="228" customWidth="1"/>
    <col min="11" max="11" width="17.140625" style="228" customWidth="1"/>
    <col min="12" max="15" width="9.140625" style="228" customWidth="1"/>
    <col min="16" max="16" width="12" style="228" bestFit="1" customWidth="1"/>
    <col min="17" max="16384" width="9.140625" style="228"/>
  </cols>
  <sheetData>
    <row r="1" spans="1:9" ht="18.75" x14ac:dyDescent="0.2">
      <c r="D1" s="230" t="s">
        <v>275</v>
      </c>
      <c r="F1" s="227"/>
      <c r="G1" s="227"/>
      <c r="H1" s="227"/>
    </row>
    <row r="2" spans="1:9" x14ac:dyDescent="0.2">
      <c r="D2" s="231"/>
      <c r="F2" s="227"/>
      <c r="G2" s="227"/>
      <c r="H2" s="227"/>
    </row>
    <row r="3" spans="1:9" ht="42" customHeight="1" x14ac:dyDescent="0.2">
      <c r="A3" s="277" t="s">
        <v>274</v>
      </c>
      <c r="B3" s="277"/>
      <c r="C3" s="277"/>
      <c r="D3" s="277"/>
      <c r="E3" s="277"/>
      <c r="F3" s="277"/>
      <c r="G3" s="277"/>
      <c r="H3" s="277"/>
    </row>
    <row r="4" spans="1:9" x14ac:dyDescent="0.2">
      <c r="D4" s="232" t="s">
        <v>231</v>
      </c>
      <c r="F4" s="227"/>
      <c r="G4" s="227"/>
      <c r="H4" s="227"/>
    </row>
    <row r="5" spans="1:9" x14ac:dyDescent="0.2">
      <c r="H5" s="227"/>
    </row>
    <row r="6" spans="1:9" s="248" customFormat="1" ht="15" x14ac:dyDescent="0.25">
      <c r="A6" s="269" t="s">
        <v>278</v>
      </c>
      <c r="B6" s="270"/>
      <c r="C6" s="269"/>
      <c r="D6" s="271"/>
      <c r="E6" s="271"/>
      <c r="F6" s="271"/>
      <c r="G6" s="271"/>
      <c r="H6" s="272"/>
    </row>
    <row r="7" spans="1:9" x14ac:dyDescent="0.2">
      <c r="B7" s="228"/>
      <c r="D7" s="231"/>
      <c r="E7" s="228"/>
      <c r="F7" s="226" t="s">
        <v>257</v>
      </c>
      <c r="G7" s="227"/>
      <c r="H7" s="227"/>
    </row>
    <row r="8" spans="1:9" x14ac:dyDescent="0.2">
      <c r="D8" s="231"/>
      <c r="E8" s="227"/>
      <c r="F8" s="227"/>
      <c r="G8" s="227"/>
      <c r="H8" s="227"/>
    </row>
    <row r="9" spans="1:9" ht="12.75" customHeight="1" x14ac:dyDescent="0.2">
      <c r="A9" s="278" t="s">
        <v>232</v>
      </c>
      <c r="B9" s="279" t="s">
        <v>233</v>
      </c>
      <c r="C9" s="279" t="s">
        <v>234</v>
      </c>
      <c r="D9" s="280" t="s">
        <v>258</v>
      </c>
      <c r="E9" s="280"/>
      <c r="F9" s="280"/>
      <c r="G9" s="280"/>
      <c r="H9" s="278" t="s">
        <v>235</v>
      </c>
    </row>
    <row r="10" spans="1:9" x14ac:dyDescent="0.2">
      <c r="A10" s="278"/>
      <c r="B10" s="279"/>
      <c r="C10" s="279"/>
      <c r="D10" s="278" t="s">
        <v>44</v>
      </c>
      <c r="E10" s="278" t="s">
        <v>236</v>
      </c>
      <c r="F10" s="278" t="s">
        <v>237</v>
      </c>
      <c r="G10" s="278" t="s">
        <v>238</v>
      </c>
      <c r="H10" s="278"/>
      <c r="I10" s="233"/>
    </row>
    <row r="11" spans="1:9" x14ac:dyDescent="0.2">
      <c r="A11" s="278"/>
      <c r="B11" s="279"/>
      <c r="C11" s="279"/>
      <c r="D11" s="278"/>
      <c r="E11" s="278"/>
      <c r="F11" s="278"/>
      <c r="G11" s="278"/>
      <c r="H11" s="278"/>
    </row>
    <row r="12" spans="1:9" x14ac:dyDescent="0.2">
      <c r="A12" s="278"/>
      <c r="B12" s="279"/>
      <c r="C12" s="279"/>
      <c r="D12" s="278"/>
      <c r="E12" s="278"/>
      <c r="F12" s="278"/>
      <c r="G12" s="278"/>
      <c r="H12" s="278"/>
    </row>
    <row r="13" spans="1:9" x14ac:dyDescent="0.2">
      <c r="A13" s="234">
        <v>1</v>
      </c>
      <c r="B13" s="235">
        <v>2</v>
      </c>
      <c r="C13" s="235">
        <v>3</v>
      </c>
      <c r="D13" s="234">
        <v>4</v>
      </c>
      <c r="E13" s="234">
        <v>5</v>
      </c>
      <c r="F13" s="234">
        <v>6</v>
      </c>
      <c r="G13" s="234">
        <v>7</v>
      </c>
      <c r="H13" s="234">
        <v>8</v>
      </c>
    </row>
    <row r="14" spans="1:9" x14ac:dyDescent="0.2">
      <c r="A14" s="275" t="s">
        <v>239</v>
      </c>
      <c r="B14" s="276"/>
      <c r="C14" s="276"/>
      <c r="D14" s="276"/>
      <c r="E14" s="276"/>
      <c r="F14" s="276"/>
      <c r="G14" s="276"/>
      <c r="H14" s="276"/>
    </row>
    <row r="15" spans="1:9" x14ac:dyDescent="0.2">
      <c r="A15" s="236">
        <v>1</v>
      </c>
      <c r="B15" s="237" t="s">
        <v>240</v>
      </c>
      <c r="C15" s="237" t="s">
        <v>276</v>
      </c>
      <c r="D15" s="243"/>
      <c r="E15" s="242">
        <f>МРСК!H18</f>
        <v>2898970</v>
      </c>
      <c r="F15" s="242">
        <f>МРСК!I18</f>
        <v>107980</v>
      </c>
      <c r="G15" s="243"/>
      <c r="H15" s="242">
        <f t="shared" ref="H15" si="0">SUM(D15:G15)</f>
        <v>3006950</v>
      </c>
    </row>
    <row r="16" spans="1:9" x14ac:dyDescent="0.2">
      <c r="A16" s="236">
        <v>2</v>
      </c>
      <c r="B16" s="237" t="s">
        <v>240</v>
      </c>
      <c r="C16" s="237" t="s">
        <v>277</v>
      </c>
      <c r="D16" s="243"/>
      <c r="E16" s="242">
        <f>МРСК!H15</f>
        <v>97770</v>
      </c>
      <c r="F16" s="242">
        <f>МРСК!I15</f>
        <v>3970</v>
      </c>
      <c r="G16" s="243"/>
      <c r="H16" s="242">
        <f>SUM(D16:G16)</f>
        <v>101740</v>
      </c>
    </row>
    <row r="17" spans="1:8" x14ac:dyDescent="0.2">
      <c r="A17" s="240"/>
      <c r="B17" s="273" t="s">
        <v>241</v>
      </c>
      <c r="C17" s="274"/>
      <c r="D17" s="243">
        <f>D15</f>
        <v>0</v>
      </c>
      <c r="E17" s="243">
        <f>E15+E16</f>
        <v>2996740</v>
      </c>
      <c r="F17" s="243">
        <f>F15+F16</f>
        <v>111950</v>
      </c>
      <c r="G17" s="243">
        <f t="shared" ref="G17" si="1">G15</f>
        <v>0</v>
      </c>
      <c r="H17" s="242">
        <f>SUM(D17:G17)</f>
        <v>3108690</v>
      </c>
    </row>
    <row r="18" spans="1:8" x14ac:dyDescent="0.2">
      <c r="A18" s="275" t="s">
        <v>242</v>
      </c>
      <c r="B18" s="276"/>
      <c r="C18" s="276"/>
      <c r="D18" s="276"/>
      <c r="E18" s="276"/>
      <c r="F18" s="276"/>
      <c r="G18" s="276"/>
      <c r="H18" s="276"/>
    </row>
    <row r="19" spans="1:8" x14ac:dyDescent="0.2">
      <c r="A19" s="240"/>
      <c r="B19" s="273" t="s">
        <v>243</v>
      </c>
      <c r="C19" s="274"/>
      <c r="D19" s="238"/>
      <c r="E19" s="238"/>
      <c r="F19" s="238"/>
      <c r="G19" s="238"/>
      <c r="H19" s="238">
        <f>SUM(D19:G19)</f>
        <v>0</v>
      </c>
    </row>
    <row r="20" spans="1:8" x14ac:dyDescent="0.2">
      <c r="A20" s="275" t="s">
        <v>244</v>
      </c>
      <c r="B20" s="276"/>
      <c r="C20" s="276"/>
      <c r="D20" s="276"/>
      <c r="E20" s="276"/>
      <c r="F20" s="276"/>
      <c r="G20" s="276"/>
      <c r="H20" s="276"/>
    </row>
    <row r="21" spans="1:8" x14ac:dyDescent="0.2">
      <c r="A21" s="240"/>
      <c r="B21" s="273" t="s">
        <v>245</v>
      </c>
      <c r="C21" s="274"/>
      <c r="D21" s="243">
        <f>D19+D17</f>
        <v>0</v>
      </c>
      <c r="E21" s="243">
        <f t="shared" ref="E21:G21" si="2">E19+E17</f>
        <v>2996740</v>
      </c>
      <c r="F21" s="243">
        <f t="shared" si="2"/>
        <v>111950</v>
      </c>
      <c r="G21" s="243">
        <f t="shared" si="2"/>
        <v>0</v>
      </c>
      <c r="H21" s="242">
        <f>SUM(D21:G21)</f>
        <v>3108690</v>
      </c>
    </row>
    <row r="22" spans="1:8" x14ac:dyDescent="0.2">
      <c r="A22" s="275" t="s">
        <v>246</v>
      </c>
      <c r="B22" s="276"/>
      <c r="C22" s="276"/>
      <c r="D22" s="276"/>
      <c r="E22" s="276"/>
      <c r="F22" s="276"/>
      <c r="G22" s="276"/>
      <c r="H22" s="276"/>
    </row>
    <row r="23" spans="1:8" x14ac:dyDescent="0.2">
      <c r="A23" s="240"/>
      <c r="B23" s="273" t="s">
        <v>247</v>
      </c>
      <c r="C23" s="274"/>
      <c r="D23" s="243">
        <f>D21</f>
        <v>0</v>
      </c>
      <c r="E23" s="243">
        <f t="shared" ref="E23:G23" si="3">E21</f>
        <v>2996740</v>
      </c>
      <c r="F23" s="243">
        <f t="shared" si="3"/>
        <v>111950</v>
      </c>
      <c r="G23" s="243">
        <f t="shared" si="3"/>
        <v>0</v>
      </c>
      <c r="H23" s="242">
        <f>SUM(D23:G23)</f>
        <v>3108690</v>
      </c>
    </row>
    <row r="24" spans="1:8" x14ac:dyDescent="0.2">
      <c r="A24" s="275" t="s">
        <v>248</v>
      </c>
      <c r="B24" s="276"/>
      <c r="C24" s="276"/>
      <c r="D24" s="276"/>
      <c r="E24" s="276"/>
      <c r="F24" s="276"/>
      <c r="G24" s="276"/>
      <c r="H24" s="276"/>
    </row>
    <row r="25" spans="1:8" ht="63.75" x14ac:dyDescent="0.2">
      <c r="A25" s="236">
        <v>3</v>
      </c>
      <c r="B25" s="237" t="s">
        <v>240</v>
      </c>
      <c r="C25" s="237" t="s">
        <v>249</v>
      </c>
      <c r="D25" s="243"/>
      <c r="E25" s="242">
        <v>529748</v>
      </c>
      <c r="F25" s="243"/>
      <c r="G25" s="243"/>
      <c r="H25" s="242">
        <f>SUM(D25:G25)</f>
        <v>529748</v>
      </c>
    </row>
    <row r="26" spans="1:8" x14ac:dyDescent="0.2">
      <c r="A26" s="236">
        <v>4</v>
      </c>
      <c r="B26" s="237" t="s">
        <v>260</v>
      </c>
      <c r="C26" s="237" t="s">
        <v>262</v>
      </c>
      <c r="D26" s="243"/>
      <c r="E26" s="242"/>
      <c r="F26" s="243"/>
      <c r="G26" s="243">
        <f>'09-01-01'!F48</f>
        <v>42652</v>
      </c>
      <c r="H26" s="242">
        <f>SUM(D26:G26)</f>
        <v>42652</v>
      </c>
    </row>
    <row r="27" spans="1:8" ht="25.5" x14ac:dyDescent="0.2">
      <c r="A27" s="236">
        <v>5</v>
      </c>
      <c r="B27" s="237" t="s">
        <v>263</v>
      </c>
      <c r="C27" s="237" t="s">
        <v>264</v>
      </c>
      <c r="D27" s="243"/>
      <c r="E27" s="242"/>
      <c r="F27" s="243"/>
      <c r="G27" s="243">
        <f>'09-01-02'!K30</f>
        <v>13039</v>
      </c>
      <c r="H27" s="242">
        <f t="shared" ref="H27:H30" si="4">SUM(D27:G27)</f>
        <v>13039</v>
      </c>
    </row>
    <row r="28" spans="1:8" x14ac:dyDescent="0.2">
      <c r="A28" s="236">
        <v>6</v>
      </c>
      <c r="B28" s="237" t="s">
        <v>265</v>
      </c>
      <c r="C28" s="237" t="s">
        <v>261</v>
      </c>
      <c r="D28" s="243"/>
      <c r="E28" s="242"/>
      <c r="F28" s="243"/>
      <c r="G28" s="243">
        <f>'09-02-01'!F48</f>
        <v>82912</v>
      </c>
      <c r="H28" s="242">
        <f t="shared" si="4"/>
        <v>82912</v>
      </c>
    </row>
    <row r="29" spans="1:8" ht="25.5" x14ac:dyDescent="0.2">
      <c r="A29" s="236">
        <v>7</v>
      </c>
      <c r="B29" s="237" t="s">
        <v>267</v>
      </c>
      <c r="C29" s="237" t="s">
        <v>266</v>
      </c>
      <c r="D29" s="243"/>
      <c r="E29" s="242"/>
      <c r="F29" s="243"/>
      <c r="G29" s="243">
        <f>'09-02-02'!K30</f>
        <v>13052</v>
      </c>
      <c r="H29" s="242">
        <f t="shared" si="4"/>
        <v>13052</v>
      </c>
    </row>
    <row r="30" spans="1:8" x14ac:dyDescent="0.2">
      <c r="A30" s="236">
        <v>8</v>
      </c>
      <c r="B30" s="237" t="s">
        <v>270</v>
      </c>
      <c r="C30" s="237" t="s">
        <v>272</v>
      </c>
      <c r="D30" s="243"/>
      <c r="E30" s="242"/>
      <c r="F30" s="243"/>
      <c r="G30" s="243">
        <v>19600</v>
      </c>
      <c r="H30" s="242">
        <f t="shared" si="4"/>
        <v>19600</v>
      </c>
    </row>
    <row r="31" spans="1:8" x14ac:dyDescent="0.2">
      <c r="A31" s="240"/>
      <c r="B31" s="273" t="s">
        <v>250</v>
      </c>
      <c r="C31" s="274"/>
      <c r="D31" s="243">
        <f>SUM(D25:D25)</f>
        <v>0</v>
      </c>
      <c r="E31" s="243">
        <f>E25+E26+E27+E28+E29+E30</f>
        <v>529748</v>
      </c>
      <c r="F31" s="243">
        <f t="shared" ref="F31:G31" si="5">F25+F26+F27+F28+F29+F30</f>
        <v>0</v>
      </c>
      <c r="G31" s="243">
        <f t="shared" si="5"/>
        <v>171255</v>
      </c>
      <c r="H31" s="242">
        <f t="shared" ref="H31" si="6">SUM(D31:G31)</f>
        <v>701003</v>
      </c>
    </row>
    <row r="32" spans="1:8" x14ac:dyDescent="0.2">
      <c r="A32" s="240"/>
      <c r="B32" s="273" t="s">
        <v>251</v>
      </c>
      <c r="C32" s="274"/>
      <c r="D32" s="243">
        <f>D23+D31</f>
        <v>0</v>
      </c>
      <c r="E32" s="243">
        <f>E23+E31</f>
        <v>3526488</v>
      </c>
      <c r="F32" s="243">
        <f>F23+F31</f>
        <v>111950</v>
      </c>
      <c r="G32" s="243">
        <f>G23+G31</f>
        <v>171255</v>
      </c>
      <c r="H32" s="242">
        <f>SUM(D32:G32)</f>
        <v>3809693</v>
      </c>
    </row>
    <row r="33" spans="1:17" x14ac:dyDescent="0.2">
      <c r="A33" s="275" t="s">
        <v>252</v>
      </c>
      <c r="B33" s="276"/>
      <c r="C33" s="276"/>
      <c r="D33" s="276"/>
      <c r="E33" s="276"/>
      <c r="F33" s="276"/>
      <c r="G33" s="276"/>
      <c r="H33" s="276"/>
    </row>
    <row r="34" spans="1:17" x14ac:dyDescent="0.2">
      <c r="A34" s="240"/>
      <c r="B34" s="273" t="s">
        <v>253</v>
      </c>
      <c r="C34" s="274"/>
      <c r="D34" s="238"/>
      <c r="E34" s="238"/>
      <c r="F34" s="238"/>
      <c r="G34" s="238"/>
      <c r="H34" s="239">
        <f t="shared" ref="H34" si="7">SUM(D34:G34)</f>
        <v>0</v>
      </c>
    </row>
    <row r="35" spans="1:17" x14ac:dyDescent="0.2">
      <c r="A35" s="275" t="s">
        <v>254</v>
      </c>
      <c r="B35" s="276"/>
      <c r="C35" s="276"/>
      <c r="D35" s="276"/>
      <c r="E35" s="276"/>
      <c r="F35" s="276"/>
      <c r="G35" s="276"/>
      <c r="H35" s="276"/>
    </row>
    <row r="36" spans="1:17" x14ac:dyDescent="0.2">
      <c r="A36" s="236">
        <v>9</v>
      </c>
      <c r="B36" s="237" t="s">
        <v>240</v>
      </c>
      <c r="C36" s="237" t="s">
        <v>44</v>
      </c>
      <c r="D36" s="242">
        <f>МРСК!M19</f>
        <v>279587</v>
      </c>
      <c r="E36" s="238"/>
      <c r="F36" s="238"/>
      <c r="G36" s="238"/>
      <c r="H36" s="242">
        <f>SUM(D36:G36)</f>
        <v>279587</v>
      </c>
    </row>
    <row r="37" spans="1:17" ht="27.95" customHeight="1" x14ac:dyDescent="0.2">
      <c r="A37" s="240"/>
      <c r="B37" s="273" t="s">
        <v>255</v>
      </c>
      <c r="C37" s="274"/>
      <c r="D37" s="242">
        <f>D36</f>
        <v>279587</v>
      </c>
      <c r="E37" s="242">
        <f>SUM(E36:E36)</f>
        <v>0</v>
      </c>
      <c r="F37" s="242">
        <f>SUM(F36:F36)</f>
        <v>0</v>
      </c>
      <c r="G37" s="242">
        <f>SUM(G36:G36)</f>
        <v>0</v>
      </c>
      <c r="H37" s="242">
        <f t="shared" ref="H37" si="8">SUM(D37:G37)</f>
        <v>279587</v>
      </c>
    </row>
    <row r="38" spans="1:17" x14ac:dyDescent="0.2">
      <c r="A38" s="240"/>
      <c r="B38" s="273" t="s">
        <v>256</v>
      </c>
      <c r="C38" s="274"/>
      <c r="D38" s="242">
        <f>D37+D34+D32</f>
        <v>279587</v>
      </c>
      <c r="E38" s="242">
        <f>E37+E34+E32</f>
        <v>3526488</v>
      </c>
      <c r="F38" s="242">
        <f>F37+F34+F32</f>
        <v>111950</v>
      </c>
      <c r="G38" s="242">
        <f>G37+G34+G32</f>
        <v>171255</v>
      </c>
      <c r="H38" s="242">
        <f>SUM(D38:G38)</f>
        <v>4089280</v>
      </c>
      <c r="J38" s="241"/>
    </row>
    <row r="39" spans="1:17" x14ac:dyDescent="0.2">
      <c r="A39" s="240"/>
      <c r="B39" s="273" t="s">
        <v>153</v>
      </c>
      <c r="C39" s="274"/>
      <c r="D39" s="242">
        <f>ROUND(D38*0.2,0)</f>
        <v>55917</v>
      </c>
      <c r="E39" s="242">
        <f t="shared" ref="E39:G39" si="9">ROUND(E38*0.2,0)</f>
        <v>705298</v>
      </c>
      <c r="F39" s="242">
        <f t="shared" si="9"/>
        <v>22390</v>
      </c>
      <c r="G39" s="242">
        <f t="shared" si="9"/>
        <v>34251</v>
      </c>
      <c r="H39" s="242">
        <f t="shared" ref="H39" si="10">SUM(D39:G39)</f>
        <v>817856</v>
      </c>
      <c r="P39" s="241"/>
    </row>
    <row r="40" spans="1:17" x14ac:dyDescent="0.2">
      <c r="A40" s="240"/>
      <c r="B40" s="273" t="s">
        <v>259</v>
      </c>
      <c r="C40" s="274"/>
      <c r="D40" s="242">
        <f>D38+D39</f>
        <v>335504</v>
      </c>
      <c r="E40" s="242">
        <f t="shared" ref="E40:G40" si="11">E38+E39</f>
        <v>4231786</v>
      </c>
      <c r="F40" s="242">
        <f t="shared" si="11"/>
        <v>134340</v>
      </c>
      <c r="G40" s="242">
        <f t="shared" si="11"/>
        <v>205506</v>
      </c>
      <c r="H40" s="242">
        <f>SUM(D40:G40)</f>
        <v>4907136</v>
      </c>
    </row>
    <row r="41" spans="1:17" ht="12" customHeight="1" x14ac:dyDescent="0.2">
      <c r="I41" s="241"/>
    </row>
    <row r="42" spans="1:17" s="248" customFormat="1" ht="15" x14ac:dyDescent="0.25">
      <c r="A42" s="246"/>
      <c r="B42" s="247"/>
      <c r="D42" s="249"/>
      <c r="E42" s="250"/>
      <c r="F42" s="251"/>
      <c r="G42" s="251"/>
      <c r="H42" s="252"/>
      <c r="L42" s="252"/>
      <c r="M42" s="252"/>
      <c r="N42" s="246"/>
      <c r="O42" s="246"/>
      <c r="P42" s="246"/>
      <c r="Q42" s="246"/>
    </row>
    <row r="43" spans="1:17" s="248" customFormat="1" ht="15" customHeight="1" x14ac:dyDescent="0.25">
      <c r="A43" s="253"/>
      <c r="B43" s="254"/>
      <c r="D43" s="254"/>
      <c r="E43" s="254"/>
      <c r="F43" s="251"/>
      <c r="G43" s="251"/>
      <c r="H43" s="254"/>
      <c r="L43" s="254"/>
      <c r="M43" s="254"/>
      <c r="N43" s="254"/>
      <c r="O43" s="254"/>
      <c r="P43" s="254"/>
      <c r="Q43" s="254"/>
    </row>
    <row r="44" spans="1:17" s="248" customFormat="1" ht="18.75" customHeight="1" x14ac:dyDescent="0.25">
      <c r="A44" s="246"/>
      <c r="B44" s="247"/>
      <c r="D44" s="255"/>
      <c r="E44" s="250"/>
      <c r="F44" s="251"/>
      <c r="G44" s="251"/>
      <c r="H44" s="256"/>
      <c r="L44" s="256"/>
      <c r="M44" s="256"/>
      <c r="N44" s="246"/>
      <c r="O44" s="246"/>
      <c r="P44" s="246"/>
      <c r="Q44" s="246"/>
    </row>
    <row r="45" spans="1:17" s="248" customFormat="1" ht="15" customHeight="1" x14ac:dyDescent="0.25">
      <c r="A45" s="253"/>
      <c r="B45" s="254"/>
      <c r="D45" s="254"/>
      <c r="E45" s="254"/>
      <c r="F45" s="251"/>
      <c r="G45" s="251"/>
      <c r="H45" s="254"/>
      <c r="L45" s="254"/>
      <c r="M45" s="254"/>
      <c r="N45" s="254"/>
      <c r="O45" s="254"/>
      <c r="P45" s="254"/>
      <c r="Q45" s="254"/>
    </row>
    <row r="46" spans="1:17" s="248" customFormat="1" ht="15.75" customHeight="1" x14ac:dyDescent="0.25">
      <c r="A46" s="246"/>
      <c r="B46" s="247"/>
      <c r="D46" s="255"/>
      <c r="E46" s="250"/>
      <c r="F46" s="251"/>
      <c r="G46" s="251"/>
      <c r="H46" s="256"/>
      <c r="L46" s="256"/>
      <c r="M46" s="256"/>
      <c r="N46" s="246"/>
      <c r="O46" s="246"/>
      <c r="P46" s="246"/>
      <c r="Q46" s="246"/>
    </row>
    <row r="47" spans="1:17" s="248" customFormat="1" ht="15" x14ac:dyDescent="0.25">
      <c r="A47" s="246"/>
      <c r="B47" s="250"/>
      <c r="D47" s="250"/>
      <c r="E47" s="250"/>
      <c r="F47" s="251"/>
      <c r="G47" s="251"/>
      <c r="H47" s="250"/>
      <c r="L47" s="251"/>
      <c r="M47" s="246"/>
      <c r="N47" s="246"/>
      <c r="O47" s="246"/>
      <c r="P47" s="246"/>
      <c r="Q47" s="246"/>
    </row>
    <row r="48" spans="1:17" s="248" customFormat="1" ht="15" customHeight="1" x14ac:dyDescent="0.25">
      <c r="A48" s="246"/>
      <c r="B48" s="247"/>
      <c r="D48" s="257"/>
      <c r="E48" s="250"/>
      <c r="F48" s="251"/>
      <c r="G48" s="251"/>
      <c r="H48" s="256"/>
      <c r="L48" s="256"/>
      <c r="M48" s="256"/>
      <c r="N48" s="246"/>
      <c r="O48" s="246"/>
      <c r="P48" s="246"/>
      <c r="Q48" s="246"/>
    </row>
  </sheetData>
  <mergeCells count="28">
    <mergeCell ref="A3:H3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33:H33"/>
    <mergeCell ref="A14:H14"/>
    <mergeCell ref="B17:C17"/>
    <mergeCell ref="A18:H18"/>
    <mergeCell ref="B19:C19"/>
    <mergeCell ref="A20:H20"/>
    <mergeCell ref="B21:C21"/>
    <mergeCell ref="A22:H22"/>
    <mergeCell ref="B23:C23"/>
    <mergeCell ref="A24:H24"/>
    <mergeCell ref="B31:C31"/>
    <mergeCell ref="B32:C32"/>
    <mergeCell ref="B40:C40"/>
    <mergeCell ref="B34:C34"/>
    <mergeCell ref="A35:H35"/>
    <mergeCell ref="B37:C37"/>
    <mergeCell ref="B38:C38"/>
    <mergeCell ref="B39:C39"/>
  </mergeCells>
  <pageMargins left="0.78740157480314965" right="0.39370078740157483" top="0.43307086614173229" bottom="0.47244094488188981" header="0.23622047244094491" footer="0.23622047244094491"/>
  <pageSetup paperSize="9" scale="89" fitToHeight="100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72"/>
  <sheetViews>
    <sheetView topLeftCell="A10" zoomScale="85" zoomScaleNormal="85" workbookViewId="0">
      <selection activeCell="A66" sqref="A66:XFD75"/>
    </sheetView>
  </sheetViews>
  <sheetFormatPr defaultRowHeight="12.75" outlineLevelRow="1" x14ac:dyDescent="0.2"/>
  <cols>
    <col min="1" max="1" width="3.85546875" style="1" customWidth="1"/>
    <col min="2" max="2" width="40.570312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10" width="13.42578125" style="1" customWidth="1"/>
    <col min="11" max="11" width="14.85546875" style="1" customWidth="1"/>
    <col min="12" max="12" width="15.28515625" style="1" customWidth="1"/>
    <col min="13" max="13" width="14.28515625" style="1" customWidth="1"/>
    <col min="14" max="14" width="12.28515625" style="1" bestFit="1" customWidth="1"/>
    <col min="15" max="16384" width="9.140625" style="1"/>
  </cols>
  <sheetData>
    <row r="3" spans="1:13" ht="15.75" x14ac:dyDescent="0.25">
      <c r="A3" s="281" t="s">
        <v>53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3" s="29" customFormat="1" ht="11.25" x14ac:dyDescent="0.2">
      <c r="G4" s="31"/>
    </row>
    <row r="5" spans="1:13" ht="39" customHeight="1" x14ac:dyDescent="0.25">
      <c r="A5" s="284" t="s">
        <v>55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</row>
    <row r="6" spans="1:13" s="3" customFormat="1" ht="15.75" x14ac:dyDescent="0.25">
      <c r="A6" s="282" t="s">
        <v>56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30"/>
    </row>
    <row r="7" spans="1:13" s="9" customFormat="1" ht="15.75" x14ac:dyDescent="0.25">
      <c r="A7" s="283"/>
      <c r="B7" s="283"/>
      <c r="C7" s="283"/>
      <c r="D7" s="283"/>
      <c r="E7" s="283"/>
      <c r="F7" s="283"/>
      <c r="G7" s="283"/>
      <c r="H7" s="283"/>
      <c r="I7" s="283"/>
      <c r="J7" s="283"/>
      <c r="K7" s="283"/>
    </row>
    <row r="8" spans="1:13" s="9" customFormat="1" ht="15.75" x14ac:dyDescent="0.25">
      <c r="A8" s="283"/>
      <c r="B8" s="283"/>
      <c r="C8" s="283"/>
      <c r="D8" s="283"/>
      <c r="E8" s="283"/>
      <c r="F8" s="283"/>
      <c r="G8" s="283"/>
      <c r="H8" s="283"/>
      <c r="I8" s="283"/>
      <c r="J8" s="283"/>
      <c r="K8" s="283"/>
    </row>
    <row r="9" spans="1:13" s="9" customFormat="1" ht="36" customHeight="1" x14ac:dyDescent="0.25">
      <c r="A9" s="285" t="s">
        <v>273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</row>
    <row r="10" spans="1:13" s="29" customFormat="1" ht="11.25" x14ac:dyDescent="0.2"/>
    <row r="11" spans="1:13" ht="25.5" customHeight="1" x14ac:dyDescent="0.2">
      <c r="A11" s="287" t="s">
        <v>52</v>
      </c>
      <c r="B11" s="287" t="s">
        <v>51</v>
      </c>
      <c r="C11" s="287" t="s">
        <v>50</v>
      </c>
      <c r="D11" s="287" t="s">
        <v>49</v>
      </c>
      <c r="E11" s="287" t="s">
        <v>48</v>
      </c>
      <c r="F11" s="297" t="s">
        <v>47</v>
      </c>
      <c r="G11" s="287" t="s">
        <v>46</v>
      </c>
      <c r="H11" s="299" t="s">
        <v>61</v>
      </c>
      <c r="I11" s="299"/>
      <c r="J11" s="299"/>
      <c r="K11" s="299"/>
      <c r="L11" s="291" t="s">
        <v>45</v>
      </c>
      <c r="M11" s="47" t="s">
        <v>54</v>
      </c>
    </row>
    <row r="12" spans="1:13" ht="76.5" x14ac:dyDescent="0.2">
      <c r="A12" s="288"/>
      <c r="B12" s="288"/>
      <c r="C12" s="288"/>
      <c r="D12" s="289"/>
      <c r="E12" s="288"/>
      <c r="F12" s="298"/>
      <c r="G12" s="289"/>
      <c r="H12" s="28" t="s">
        <v>43</v>
      </c>
      <c r="I12" s="28" t="s">
        <v>42</v>
      </c>
      <c r="J12" s="28" t="s">
        <v>41</v>
      </c>
      <c r="K12" s="28" t="s">
        <v>40</v>
      </c>
      <c r="L12" s="292"/>
      <c r="M12" s="48" t="s">
        <v>44</v>
      </c>
    </row>
    <row r="13" spans="1:13" ht="12.75" customHeight="1" x14ac:dyDescent="0.2">
      <c r="A13" s="294" t="s">
        <v>57</v>
      </c>
      <c r="B13" s="295"/>
      <c r="C13" s="295"/>
      <c r="D13" s="295"/>
      <c r="E13" s="295"/>
      <c r="F13" s="295"/>
      <c r="G13" s="296"/>
      <c r="H13" s="28"/>
      <c r="I13" s="28"/>
      <c r="J13" s="28"/>
      <c r="K13" s="28"/>
      <c r="L13" s="49"/>
      <c r="M13" s="48"/>
    </row>
    <row r="14" spans="1:13" s="15" customFormat="1" x14ac:dyDescent="0.2">
      <c r="A14" s="27">
        <v>1</v>
      </c>
      <c r="B14" s="26" t="s">
        <v>62</v>
      </c>
      <c r="C14" s="25" t="s">
        <v>63</v>
      </c>
      <c r="D14" s="24">
        <v>319.2</v>
      </c>
      <c r="E14" s="25">
        <f>50/1000</f>
        <v>0.05</v>
      </c>
      <c r="F14" s="245">
        <f>ROUND((1.5+2.5+7.5+5+1.5)/100+1,3)</f>
        <v>1.18</v>
      </c>
      <c r="G14" s="24">
        <f>ROUND((D14*E14*F14),2)</f>
        <v>18.829999999999998</v>
      </c>
      <c r="H14" s="23">
        <f>ROUND((0.8*G14*6.49),2)*1000</f>
        <v>97770</v>
      </c>
      <c r="I14" s="23">
        <f>ROUND((0.04*G14*5.27),2)*1000</f>
        <v>3970</v>
      </c>
      <c r="J14" s="23">
        <f>ROUND((0*G14*1.09*27.94),2)*1000</f>
        <v>0</v>
      </c>
      <c r="K14" s="23">
        <f>ROUND((0.16*G14*10.42),2)*1000</f>
        <v>31390</v>
      </c>
      <c r="L14" s="22">
        <f>SUM(H14:K14)</f>
        <v>133130</v>
      </c>
      <c r="M14" s="22">
        <f>ROUND(L14*0.07,0)</f>
        <v>9319</v>
      </c>
    </row>
    <row r="15" spans="1:13" s="9" customFormat="1" ht="12.75" customHeight="1" x14ac:dyDescent="0.2">
      <c r="A15" s="293" t="s">
        <v>58</v>
      </c>
      <c r="B15" s="293"/>
      <c r="C15" s="293"/>
      <c r="D15" s="293"/>
      <c r="E15" s="293"/>
      <c r="F15" s="293"/>
      <c r="G15" s="293"/>
      <c r="H15" s="50">
        <f>H14</f>
        <v>97770</v>
      </c>
      <c r="I15" s="50">
        <f t="shared" ref="I15:K15" si="0">I14</f>
        <v>3970</v>
      </c>
      <c r="J15" s="50">
        <f t="shared" si="0"/>
        <v>0</v>
      </c>
      <c r="K15" s="50">
        <f t="shared" si="0"/>
        <v>31390</v>
      </c>
      <c r="L15" s="50">
        <f>SUM(H15:K15)</f>
        <v>133130</v>
      </c>
      <c r="M15" s="51">
        <f>M13+M14</f>
        <v>9319</v>
      </c>
    </row>
    <row r="16" spans="1:13" ht="12.75" customHeight="1" x14ac:dyDescent="0.2">
      <c r="A16" s="294" t="s">
        <v>64</v>
      </c>
      <c r="B16" s="295"/>
      <c r="C16" s="295"/>
      <c r="D16" s="295"/>
      <c r="E16" s="295"/>
      <c r="F16" s="295"/>
      <c r="G16" s="296"/>
      <c r="H16" s="28"/>
      <c r="I16" s="28"/>
      <c r="J16" s="28"/>
      <c r="K16" s="28"/>
      <c r="L16" s="49"/>
      <c r="M16" s="48"/>
    </row>
    <row r="17" spans="1:14" s="15" customFormat="1" x14ac:dyDescent="0.2">
      <c r="A17" s="27">
        <v>2</v>
      </c>
      <c r="B17" s="26" t="s">
        <v>62</v>
      </c>
      <c r="C17" s="25" t="s">
        <v>63</v>
      </c>
      <c r="D17" s="24">
        <v>319.2</v>
      </c>
      <c r="E17" s="25">
        <v>1.36</v>
      </c>
      <c r="F17" s="25">
        <f>ROUND((1.5+2.5+7.5+5+1.5)/100+1,3)</f>
        <v>1.18</v>
      </c>
      <c r="G17" s="24">
        <f>ROUND((D17*E17*F17),2)</f>
        <v>512.25</v>
      </c>
      <c r="H17" s="23">
        <f>ROUND((0.8*G17*1.09*6.49),2)*1000</f>
        <v>2898970</v>
      </c>
      <c r="I17" s="23">
        <f>ROUND((0.04*G17*5.27),2)*1000</f>
        <v>107980</v>
      </c>
      <c r="J17" s="23">
        <f>ROUND((0*G17*1.09*27.94),2)*1000</f>
        <v>0</v>
      </c>
      <c r="K17" s="23">
        <f>ROUND((0.16*G17*10.42),2)*1000</f>
        <v>854020</v>
      </c>
      <c r="L17" s="22">
        <f>SUM(H17:K17)</f>
        <v>3860970</v>
      </c>
      <c r="M17" s="22">
        <f>ROUND(L17*0.07,0)</f>
        <v>270268</v>
      </c>
    </row>
    <row r="18" spans="1:14" s="9" customFormat="1" ht="12.75" customHeight="1" x14ac:dyDescent="0.2">
      <c r="A18" s="286" t="s">
        <v>65</v>
      </c>
      <c r="B18" s="286"/>
      <c r="C18" s="286"/>
      <c r="D18" s="286"/>
      <c r="E18" s="286"/>
      <c r="F18" s="286"/>
      <c r="G18" s="286"/>
      <c r="H18" s="50">
        <f>H17</f>
        <v>2898970</v>
      </c>
      <c r="I18" s="50">
        <f t="shared" ref="I18:K18" si="1">I17</f>
        <v>107980</v>
      </c>
      <c r="J18" s="50">
        <f t="shared" si="1"/>
        <v>0</v>
      </c>
      <c r="K18" s="50">
        <f t="shared" si="1"/>
        <v>854020</v>
      </c>
      <c r="L18" s="50">
        <f>SUM(H18:K18)</f>
        <v>3860970</v>
      </c>
      <c r="M18" s="51">
        <f>M16+M17</f>
        <v>270268</v>
      </c>
    </row>
    <row r="19" spans="1:14" s="9" customFormat="1" ht="12.75" customHeight="1" x14ac:dyDescent="0.2">
      <c r="A19" s="286" t="s">
        <v>59</v>
      </c>
      <c r="B19" s="286"/>
      <c r="C19" s="286"/>
      <c r="D19" s="286"/>
      <c r="E19" s="286"/>
      <c r="F19" s="286"/>
      <c r="G19" s="286"/>
      <c r="H19" s="21">
        <f>H15+H18</f>
        <v>2996740</v>
      </c>
      <c r="I19" s="21">
        <f t="shared" ref="I19:K19" si="2">I15+I18</f>
        <v>111950</v>
      </c>
      <c r="J19" s="21">
        <f t="shared" si="2"/>
        <v>0</v>
      </c>
      <c r="K19" s="21">
        <f t="shared" si="2"/>
        <v>885410</v>
      </c>
      <c r="L19" s="21">
        <f t="shared" ref="L19" si="3">L15+L18</f>
        <v>3994100</v>
      </c>
      <c r="M19" s="52">
        <f>M15+M18</f>
        <v>279587</v>
      </c>
    </row>
    <row r="20" spans="1:14" s="9" customFormat="1" ht="12.75" customHeight="1" x14ac:dyDescent="0.2">
      <c r="A20" s="286" t="s">
        <v>39</v>
      </c>
      <c r="B20" s="286"/>
      <c r="C20" s="286"/>
      <c r="D20" s="286"/>
      <c r="E20" s="286"/>
      <c r="F20" s="286"/>
      <c r="G20" s="286"/>
      <c r="H20" s="21">
        <f>H19*20/100</f>
        <v>599348</v>
      </c>
      <c r="I20" s="21">
        <f>I19*20/100</f>
        <v>22390</v>
      </c>
      <c r="J20" s="21">
        <f>J19*20/100</f>
        <v>0</v>
      </c>
      <c r="K20" s="21">
        <f>K19*20/100</f>
        <v>177082</v>
      </c>
      <c r="L20" s="21">
        <f>SUM(H20:K20)</f>
        <v>798820</v>
      </c>
      <c r="M20" s="52">
        <f>M19*20/100</f>
        <v>55917.4</v>
      </c>
    </row>
    <row r="21" spans="1:14" s="9" customFormat="1" ht="12.75" customHeight="1" x14ac:dyDescent="0.2">
      <c r="A21" s="286" t="s">
        <v>60</v>
      </c>
      <c r="B21" s="286"/>
      <c r="C21" s="286"/>
      <c r="D21" s="286"/>
      <c r="E21" s="286"/>
      <c r="F21" s="286"/>
      <c r="G21" s="286"/>
      <c r="H21" s="21">
        <f>H19+H20</f>
        <v>3596088</v>
      </c>
      <c r="I21" s="21">
        <f>I19+I20</f>
        <v>134340</v>
      </c>
      <c r="J21" s="21">
        <f>J19+J20</f>
        <v>0</v>
      </c>
      <c r="K21" s="21">
        <f>K19+K20</f>
        <v>1062492</v>
      </c>
      <c r="L21" s="21">
        <f>SUM(H21:K21)</f>
        <v>4792920</v>
      </c>
      <c r="M21" s="52">
        <f>M19+M20</f>
        <v>335504.40000000002</v>
      </c>
      <c r="N21" s="32"/>
    </row>
    <row r="22" spans="1:14" s="9" customFormat="1" ht="13.5" customHeight="1" x14ac:dyDescent="0.2">
      <c r="A22" s="20"/>
      <c r="B22" s="20"/>
      <c r="C22" s="20"/>
      <c r="D22" s="20"/>
      <c r="E22" s="20"/>
      <c r="F22" s="20"/>
      <c r="G22" s="20"/>
      <c r="H22" s="19"/>
      <c r="I22" s="19"/>
      <c r="J22" s="19"/>
      <c r="K22" s="19"/>
      <c r="L22" s="17"/>
      <c r="M22" s="19"/>
    </row>
    <row r="23" spans="1:14" s="15" customFormat="1" x14ac:dyDescent="0.2">
      <c r="A23" s="18"/>
      <c r="B23" s="18"/>
      <c r="C23" s="18"/>
      <c r="D23" s="18"/>
      <c r="E23" s="18"/>
      <c r="F23" s="18"/>
      <c r="G23" s="18"/>
      <c r="H23" s="19"/>
      <c r="I23" s="19"/>
      <c r="J23" s="19"/>
      <c r="K23" s="19"/>
      <c r="L23" s="16"/>
      <c r="M23" s="19"/>
    </row>
    <row r="24" spans="1:14" s="9" customFormat="1" x14ac:dyDescent="0.2">
      <c r="A24" s="10"/>
      <c r="B24" s="14" t="s">
        <v>38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4" s="9" customFormat="1" ht="12.75" customHeight="1" x14ac:dyDescent="0.2">
      <c r="A25" s="13" t="s">
        <v>37</v>
      </c>
      <c r="B25" s="290" t="s">
        <v>36</v>
      </c>
      <c r="C25" s="290"/>
      <c r="D25" s="290"/>
      <c r="E25" s="290"/>
      <c r="F25" s="290"/>
      <c r="G25" s="290"/>
      <c r="H25" s="290"/>
      <c r="I25" s="290"/>
      <c r="J25" s="290"/>
      <c r="K25" s="290"/>
      <c r="L25" s="290"/>
    </row>
    <row r="26" spans="1:14" s="12" customFormat="1" ht="11.25" x14ac:dyDescent="0.2">
      <c r="F26" s="12" t="s">
        <v>35</v>
      </c>
    </row>
    <row r="27" spans="1:14" s="9" customFormat="1" x14ac:dyDescent="0.2">
      <c r="A27" s="11" t="s">
        <v>34</v>
      </c>
      <c r="B27" s="10" t="s">
        <v>33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9" spans="1:14" s="3" customFormat="1" hidden="1" outlineLevel="1" x14ac:dyDescent="0.2">
      <c r="A29" s="8" t="s">
        <v>32</v>
      </c>
      <c r="B29" s="7" t="s">
        <v>31</v>
      </c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4" s="3" customFormat="1" hidden="1" outlineLevel="1" x14ac:dyDescent="0.2">
      <c r="A30" s="5" t="s">
        <v>30</v>
      </c>
      <c r="B30" s="4" t="s">
        <v>29</v>
      </c>
      <c r="C30" s="4"/>
      <c r="D30" s="4" t="s">
        <v>28</v>
      </c>
      <c r="E30" s="4"/>
      <c r="F30" s="4"/>
      <c r="G30" s="4"/>
      <c r="I30" s="4"/>
      <c r="J30" s="4"/>
      <c r="K30" s="4"/>
      <c r="L30" s="4"/>
    </row>
    <row r="31" spans="1:14" s="3" customFormat="1" hidden="1" outlineLevel="1" x14ac:dyDescent="0.2">
      <c r="A31" s="6" t="s">
        <v>1</v>
      </c>
      <c r="B31" s="4" t="s">
        <v>27</v>
      </c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4" s="3" customFormat="1" hidden="1" outlineLevel="1" x14ac:dyDescent="0.2">
      <c r="A32" s="6" t="s">
        <v>1</v>
      </c>
      <c r="B32" s="4" t="s">
        <v>26</v>
      </c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s="3" customFormat="1" hidden="1" outlineLevel="1" x14ac:dyDescent="0.2">
      <c r="A33" s="6" t="s">
        <v>1</v>
      </c>
      <c r="B33" s="4" t="s">
        <v>25</v>
      </c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s="3" customFormat="1" hidden="1" outlineLevel="1" x14ac:dyDescent="0.2">
      <c r="A34" s="6" t="s">
        <v>1</v>
      </c>
      <c r="B34" s="4" t="s">
        <v>24</v>
      </c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s="3" customFormat="1" hidden="1" outlineLevel="1" x14ac:dyDescent="0.2">
      <c r="A35" s="6" t="s">
        <v>1</v>
      </c>
      <c r="B35" s="4" t="s">
        <v>9</v>
      </c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s="3" customFormat="1" hidden="1" outlineLevel="1" x14ac:dyDescent="0.2">
      <c r="A36" s="6" t="s">
        <v>1</v>
      </c>
      <c r="B36" s="4" t="s">
        <v>23</v>
      </c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s="3" customFormat="1" hidden="1" outlineLevel="1" x14ac:dyDescent="0.2">
      <c r="A37" s="6" t="s">
        <v>1</v>
      </c>
      <c r="B37" s="4" t="s">
        <v>7</v>
      </c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s="3" customFormat="1" hidden="1" outlineLevel="1" x14ac:dyDescent="0.2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s="3" customFormat="1" collapsed="1" x14ac:dyDescent="0.2">
      <c r="A39" s="8" t="s">
        <v>17</v>
      </c>
      <c r="B39" s="7" t="s">
        <v>16</v>
      </c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s="3" customFormat="1" x14ac:dyDescent="0.2">
      <c r="A40" s="5" t="s">
        <v>15</v>
      </c>
      <c r="B40" s="4" t="s">
        <v>14</v>
      </c>
      <c r="C40" s="4" t="s">
        <v>271</v>
      </c>
      <c r="D40" s="4"/>
      <c r="E40" s="4"/>
      <c r="F40" s="4"/>
      <c r="G40" s="4"/>
      <c r="H40" s="4"/>
      <c r="I40" s="4"/>
      <c r="J40" s="4"/>
      <c r="K40" s="4"/>
      <c r="L40" s="4"/>
    </row>
    <row r="41" spans="1:12" s="3" customFormat="1" ht="13.5" customHeight="1" x14ac:dyDescent="0.2">
      <c r="A41" s="6" t="s">
        <v>1</v>
      </c>
      <c r="B41" s="4" t="s">
        <v>12</v>
      </c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s="3" customFormat="1" ht="13.5" customHeight="1" x14ac:dyDescent="0.2">
      <c r="A42" s="6" t="s">
        <v>1</v>
      </c>
      <c r="B42" s="4" t="s">
        <v>11</v>
      </c>
      <c r="G42" s="4"/>
    </row>
    <row r="43" spans="1:12" s="3" customFormat="1" ht="13.5" customHeight="1" x14ac:dyDescent="0.2">
      <c r="A43" s="6" t="s">
        <v>1</v>
      </c>
      <c r="B43" s="4" t="s">
        <v>10</v>
      </c>
    </row>
    <row r="44" spans="1:12" s="3" customFormat="1" ht="13.5" hidden="1" customHeight="1" x14ac:dyDescent="0.2">
      <c r="A44" s="6" t="s">
        <v>1</v>
      </c>
      <c r="B44" s="4" t="s">
        <v>9</v>
      </c>
    </row>
    <row r="45" spans="1:12" s="3" customFormat="1" ht="13.5" customHeight="1" x14ac:dyDescent="0.2">
      <c r="A45" s="6" t="s">
        <v>1</v>
      </c>
      <c r="B45" s="244" t="s">
        <v>8</v>
      </c>
    </row>
    <row r="46" spans="1:12" s="3" customFormat="1" ht="13.5" customHeight="1" x14ac:dyDescent="0.2">
      <c r="A46" s="6" t="s">
        <v>1</v>
      </c>
      <c r="B46" s="4" t="s">
        <v>7</v>
      </c>
    </row>
    <row r="47" spans="1:12" ht="16.5" hidden="1" customHeight="1" x14ac:dyDescent="0.2">
      <c r="A47" s="1" t="s">
        <v>3</v>
      </c>
      <c r="B47" s="1" t="s">
        <v>22</v>
      </c>
    </row>
    <row r="48" spans="1:12" hidden="1" x14ac:dyDescent="0.2">
      <c r="A48" s="2" t="s">
        <v>1</v>
      </c>
      <c r="B48" s="1" t="s">
        <v>21</v>
      </c>
    </row>
    <row r="49" spans="1:12" hidden="1" x14ac:dyDescent="0.2">
      <c r="A49" s="2" t="s">
        <v>20</v>
      </c>
      <c r="B49" s="1" t="s">
        <v>19</v>
      </c>
    </row>
    <row r="50" spans="1:12" hidden="1" x14ac:dyDescent="0.2">
      <c r="A50" s="2"/>
      <c r="B50" s="1" t="s">
        <v>18</v>
      </c>
    </row>
    <row r="51" spans="1:12" hidden="1" x14ac:dyDescent="0.2"/>
    <row r="52" spans="1:12" s="3" customFormat="1" hidden="1" x14ac:dyDescent="0.2">
      <c r="A52" s="8" t="s">
        <v>17</v>
      </c>
      <c r="B52" s="7" t="s">
        <v>16</v>
      </c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s="3" customFormat="1" hidden="1" x14ac:dyDescent="0.2">
      <c r="A53" s="5" t="s">
        <v>15</v>
      </c>
      <c r="B53" s="4" t="s">
        <v>14</v>
      </c>
      <c r="C53" s="4" t="s">
        <v>13</v>
      </c>
      <c r="D53" s="4"/>
      <c r="E53" s="4"/>
      <c r="F53" s="4"/>
      <c r="G53" s="4"/>
      <c r="H53" s="4"/>
      <c r="I53" s="4"/>
      <c r="J53" s="4"/>
      <c r="K53" s="4"/>
      <c r="L53" s="4"/>
    </row>
    <row r="54" spans="1:12" s="3" customFormat="1" hidden="1" x14ac:dyDescent="0.2">
      <c r="A54" s="6" t="s">
        <v>1</v>
      </c>
      <c r="B54" s="4" t="s">
        <v>12</v>
      </c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s="3" customFormat="1" hidden="1" x14ac:dyDescent="0.2">
      <c r="A55" s="6" t="s">
        <v>1</v>
      </c>
      <c r="B55" s="4" t="s">
        <v>11</v>
      </c>
    </row>
    <row r="56" spans="1:12" s="3" customFormat="1" hidden="1" x14ac:dyDescent="0.2">
      <c r="A56" s="6" t="s">
        <v>1</v>
      </c>
      <c r="B56" s="4" t="s">
        <v>10</v>
      </c>
    </row>
    <row r="57" spans="1:12" s="3" customFormat="1" hidden="1" x14ac:dyDescent="0.2">
      <c r="A57" s="6" t="s">
        <v>1</v>
      </c>
      <c r="B57" s="4" t="s">
        <v>9</v>
      </c>
    </row>
    <row r="58" spans="1:12" s="3" customFormat="1" hidden="1" x14ac:dyDescent="0.2">
      <c r="A58" s="6" t="s">
        <v>1</v>
      </c>
      <c r="B58" s="4" t="s">
        <v>8</v>
      </c>
    </row>
    <row r="59" spans="1:12" s="3" customFormat="1" hidden="1" x14ac:dyDescent="0.2">
      <c r="A59" s="6" t="s">
        <v>1</v>
      </c>
      <c r="B59" s="4" t="s">
        <v>7</v>
      </c>
    </row>
    <row r="60" spans="1:12" s="3" customFormat="1" hidden="1" x14ac:dyDescent="0.2">
      <c r="A60" s="5" t="s">
        <v>3</v>
      </c>
      <c r="B60" s="4" t="s">
        <v>6</v>
      </c>
    </row>
    <row r="61" spans="1:12" s="3" customFormat="1" hidden="1" x14ac:dyDescent="0.2">
      <c r="B61" s="4" t="s">
        <v>5</v>
      </c>
    </row>
    <row r="62" spans="1:12" s="3" customFormat="1" hidden="1" x14ac:dyDescent="0.2">
      <c r="B62" s="4" t="s">
        <v>4</v>
      </c>
    </row>
    <row r="63" spans="1:12" hidden="1" x14ac:dyDescent="0.2">
      <c r="A63" s="1" t="s">
        <v>3</v>
      </c>
      <c r="B63" s="1" t="s">
        <v>2</v>
      </c>
    </row>
    <row r="64" spans="1:12" hidden="1" x14ac:dyDescent="0.2">
      <c r="A64" s="2" t="s">
        <v>1</v>
      </c>
      <c r="B64" s="1" t="s">
        <v>0</v>
      </c>
    </row>
    <row r="65" spans="1:17" s="38" customFormat="1" ht="15.75" x14ac:dyDescent="0.25">
      <c r="A65" s="33"/>
      <c r="B65" s="34"/>
      <c r="C65" s="35"/>
      <c r="D65" s="36"/>
      <c r="E65" s="36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7" s="228" customFormat="1" x14ac:dyDescent="0.2">
      <c r="A66" s="3"/>
      <c r="B66" s="258"/>
      <c r="D66" s="259"/>
      <c r="E66" s="260"/>
      <c r="F66" s="229"/>
      <c r="G66" s="229"/>
      <c r="H66" s="229"/>
      <c r="K66" s="261"/>
      <c r="L66" s="261"/>
      <c r="M66" s="261"/>
      <c r="N66" s="3"/>
      <c r="O66" s="3"/>
      <c r="P66" s="3"/>
      <c r="Q66" s="3"/>
    </row>
    <row r="67" spans="1:17" s="228" customFormat="1" ht="15" customHeight="1" x14ac:dyDescent="0.2">
      <c r="A67" s="262"/>
      <c r="B67" s="263"/>
      <c r="D67" s="263"/>
      <c r="E67" s="263"/>
      <c r="F67" s="229"/>
      <c r="G67" s="229"/>
      <c r="H67" s="229"/>
      <c r="K67" s="263"/>
      <c r="L67" s="263"/>
      <c r="M67" s="263"/>
      <c r="N67" s="263"/>
      <c r="O67" s="263"/>
      <c r="P67" s="263"/>
      <c r="Q67" s="263"/>
    </row>
    <row r="68" spans="1:17" s="228" customFormat="1" ht="18.75" customHeight="1" x14ac:dyDescent="0.2">
      <c r="A68" s="3"/>
      <c r="B68" s="258"/>
      <c r="D68" s="264"/>
      <c r="E68" s="260"/>
      <c r="F68" s="229"/>
      <c r="G68" s="229"/>
      <c r="H68" s="229"/>
      <c r="K68" s="265"/>
      <c r="L68" s="265"/>
      <c r="M68" s="265"/>
      <c r="N68" s="3"/>
      <c r="O68" s="3"/>
      <c r="P68" s="3"/>
      <c r="Q68" s="3"/>
    </row>
    <row r="69" spans="1:17" s="228" customFormat="1" ht="15" customHeight="1" x14ac:dyDescent="0.2">
      <c r="A69" s="262"/>
      <c r="B69" s="263"/>
      <c r="D69" s="263"/>
      <c r="E69" s="263"/>
      <c r="F69" s="229"/>
      <c r="G69" s="229"/>
      <c r="H69" s="229"/>
      <c r="K69" s="263"/>
      <c r="L69" s="263"/>
      <c r="M69" s="263"/>
      <c r="N69" s="263"/>
      <c r="O69" s="263"/>
      <c r="P69" s="263"/>
      <c r="Q69" s="263"/>
    </row>
    <row r="70" spans="1:17" s="228" customFormat="1" ht="15.75" customHeight="1" x14ac:dyDescent="0.2">
      <c r="A70" s="3"/>
      <c r="B70" s="258"/>
      <c r="D70" s="264"/>
      <c r="E70" s="260"/>
      <c r="F70" s="229"/>
      <c r="G70" s="229"/>
      <c r="H70" s="229"/>
      <c r="K70" s="265"/>
      <c r="L70" s="265"/>
      <c r="M70" s="265"/>
      <c r="N70" s="3"/>
      <c r="O70" s="3"/>
      <c r="P70" s="3"/>
      <c r="Q70" s="3"/>
    </row>
    <row r="71" spans="1:17" s="228" customFormat="1" x14ac:dyDescent="0.2">
      <c r="A71" s="3"/>
      <c r="B71" s="260"/>
      <c r="D71" s="260"/>
      <c r="E71" s="260"/>
      <c r="F71" s="229"/>
      <c r="G71" s="229"/>
      <c r="H71" s="229"/>
      <c r="K71" s="260"/>
      <c r="L71" s="229"/>
      <c r="M71" s="3"/>
      <c r="N71" s="3"/>
      <c r="O71" s="3"/>
      <c r="P71" s="3"/>
      <c r="Q71" s="3"/>
    </row>
    <row r="72" spans="1:17" s="228" customFormat="1" ht="15" customHeight="1" x14ac:dyDescent="0.2">
      <c r="A72" s="3"/>
      <c r="B72" s="258"/>
      <c r="D72" s="266"/>
      <c r="E72" s="260"/>
      <c r="F72" s="229"/>
      <c r="G72" s="229"/>
      <c r="H72" s="229"/>
      <c r="K72" s="265"/>
      <c r="L72" s="265"/>
      <c r="M72" s="265"/>
      <c r="N72" s="3"/>
      <c r="O72" s="3"/>
      <c r="P72" s="3"/>
      <c r="Q72" s="3"/>
    </row>
  </sheetData>
  <mergeCells count="23">
    <mergeCell ref="B25:L25"/>
    <mergeCell ref="L11:L12"/>
    <mergeCell ref="A19:G19"/>
    <mergeCell ref="A20:G20"/>
    <mergeCell ref="A15:G15"/>
    <mergeCell ref="A13:G13"/>
    <mergeCell ref="A16:G16"/>
    <mergeCell ref="A18:G18"/>
    <mergeCell ref="F11:F12"/>
    <mergeCell ref="G11:G12"/>
    <mergeCell ref="H11:K11"/>
    <mergeCell ref="A9:M9"/>
    <mergeCell ref="A21:G21"/>
    <mergeCell ref="A11:A12"/>
    <mergeCell ref="B11:B12"/>
    <mergeCell ref="C11:C12"/>
    <mergeCell ref="D11:D12"/>
    <mergeCell ref="E11:E12"/>
    <mergeCell ref="A3:L3"/>
    <mergeCell ref="A6:L6"/>
    <mergeCell ref="A7:K7"/>
    <mergeCell ref="A5:M5"/>
    <mergeCell ref="A8:K8"/>
  </mergeCells>
  <pageMargins left="0.70866141732283472" right="0.70866141732283472" top="0.74803149606299213" bottom="0.74803149606299213" header="0.31496062992125984" footer="0.31496062992125984"/>
  <pageSetup paperSize="9" scale="71" firstPageNumber="2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8"/>
  <sheetViews>
    <sheetView topLeftCell="A45" zoomScale="85" zoomScaleNormal="85" workbookViewId="0">
      <selection activeCell="A50" sqref="A50:XFD57"/>
    </sheetView>
  </sheetViews>
  <sheetFormatPr defaultRowHeight="12.75" x14ac:dyDescent="0.2"/>
  <cols>
    <col min="1" max="1" width="48.28515625" style="53" customWidth="1"/>
    <col min="2" max="2" width="13.42578125" style="53" customWidth="1"/>
    <col min="3" max="3" width="14.5703125" style="53" customWidth="1"/>
    <col min="4" max="4" width="12.7109375" style="53" customWidth="1"/>
    <col min="5" max="5" width="14.28515625" style="53" customWidth="1"/>
    <col min="6" max="6" width="27.7109375" style="53" customWidth="1"/>
    <col min="7" max="7" width="13.7109375" style="53" customWidth="1"/>
    <col min="8" max="16384" width="9.140625" style="53"/>
  </cols>
  <sheetData>
    <row r="1" spans="1:7" ht="29.25" hidden="1" customHeight="1" x14ac:dyDescent="0.3">
      <c r="C1" s="316" t="s">
        <v>66</v>
      </c>
      <c r="D1" s="317"/>
      <c r="E1" s="317"/>
      <c r="F1" s="317"/>
    </row>
    <row r="2" spans="1:7" ht="15.75" hidden="1" customHeight="1" x14ac:dyDescent="0.25">
      <c r="C2" s="318" t="s">
        <v>67</v>
      </c>
      <c r="D2" s="317"/>
      <c r="E2" s="317"/>
      <c r="F2" s="317"/>
    </row>
    <row r="3" spans="1:7" ht="38.25" hidden="1" customHeight="1" x14ac:dyDescent="0.25">
      <c r="D3" s="54" t="s">
        <v>68</v>
      </c>
      <c r="E3" s="55"/>
      <c r="F3" s="55"/>
    </row>
    <row r="4" spans="1:7" ht="28.5" hidden="1" customHeight="1" x14ac:dyDescent="0.25">
      <c r="D4" s="54" t="s">
        <v>69</v>
      </c>
      <c r="E4" s="55"/>
      <c r="F4" s="55"/>
    </row>
    <row r="5" spans="1:7" ht="18" hidden="1" customHeight="1" x14ac:dyDescent="0.2">
      <c r="F5" s="56"/>
    </row>
    <row r="6" spans="1:7" ht="12" customHeight="1" x14ac:dyDescent="0.2">
      <c r="F6" s="56"/>
    </row>
    <row r="7" spans="1:7" ht="18" customHeight="1" x14ac:dyDescent="0.35">
      <c r="A7" s="319" t="s">
        <v>151</v>
      </c>
      <c r="B7" s="319"/>
      <c r="C7" s="319"/>
      <c r="D7" s="319"/>
      <c r="E7" s="319"/>
      <c r="F7" s="319"/>
      <c r="G7" s="57"/>
    </row>
    <row r="8" spans="1:7" ht="18" customHeight="1" x14ac:dyDescent="0.25">
      <c r="A8" s="320" t="s">
        <v>70</v>
      </c>
      <c r="B8" s="320"/>
      <c r="C8" s="320"/>
      <c r="D8" s="320"/>
      <c r="E8" s="320"/>
      <c r="F8" s="320"/>
      <c r="G8" s="57"/>
    </row>
    <row r="9" spans="1:7" ht="14.25" customHeight="1" x14ac:dyDescent="0.2">
      <c r="A9" s="58"/>
      <c r="B9" s="58"/>
      <c r="C9" s="58"/>
      <c r="D9" s="58"/>
      <c r="E9" s="58"/>
      <c r="F9" s="58"/>
      <c r="G9" s="58"/>
    </row>
    <row r="10" spans="1:7" ht="48.75" customHeight="1" x14ac:dyDescent="0.2">
      <c r="A10" s="315" t="s">
        <v>148</v>
      </c>
      <c r="B10" s="321"/>
      <c r="C10" s="321"/>
      <c r="D10" s="321"/>
      <c r="E10" s="321"/>
      <c r="F10" s="321"/>
      <c r="G10" s="59"/>
    </row>
    <row r="11" spans="1:7" s="61" customFormat="1" ht="18.75" customHeight="1" thickBot="1" x14ac:dyDescent="0.25">
      <c r="A11" s="314" t="s">
        <v>71</v>
      </c>
      <c r="B11" s="314"/>
      <c r="C11" s="315"/>
      <c r="D11" s="60"/>
      <c r="E11" s="60"/>
      <c r="F11" s="60"/>
    </row>
    <row r="12" spans="1:7" s="61" customFormat="1" ht="36" customHeight="1" thickBot="1" x14ac:dyDescent="0.3">
      <c r="A12" s="302" t="s">
        <v>72</v>
      </c>
      <c r="B12" s="303"/>
      <c r="C12" s="223">
        <f>(50*8)/10000/1000</f>
        <v>4.0000000000000003E-5</v>
      </c>
      <c r="D12" s="63" t="s">
        <v>73</v>
      </c>
      <c r="E12" s="64" t="s">
        <v>74</v>
      </c>
      <c r="F12" s="65"/>
    </row>
    <row r="13" spans="1:7" s="61" customFormat="1" ht="17.25" customHeight="1" x14ac:dyDescent="0.3">
      <c r="A13" s="66"/>
      <c r="B13" s="67" t="s">
        <v>75</v>
      </c>
      <c r="C13" s="68">
        <f>668</f>
        <v>668</v>
      </c>
      <c r="D13" s="69" t="s">
        <v>76</v>
      </c>
      <c r="E13" s="70"/>
      <c r="F13" s="71"/>
    </row>
    <row r="14" spans="1:7" s="61" customFormat="1" ht="16.5" customHeight="1" x14ac:dyDescent="0.25">
      <c r="A14" s="72"/>
      <c r="B14" s="73" t="s">
        <v>77</v>
      </c>
      <c r="C14" s="74">
        <f>49</f>
        <v>49</v>
      </c>
      <c r="D14" s="304" t="s">
        <v>78</v>
      </c>
      <c r="E14" s="305"/>
      <c r="F14" s="75"/>
    </row>
    <row r="15" spans="1:7" s="61" customFormat="1" ht="13.5" customHeight="1" x14ac:dyDescent="0.25">
      <c r="A15" s="76" t="s">
        <v>79</v>
      </c>
      <c r="B15" s="73" t="s">
        <v>80</v>
      </c>
      <c r="C15" s="77">
        <f>1-0.4*(2-E15)</f>
        <v>0.20001599999999997</v>
      </c>
      <c r="D15" s="78" t="s">
        <v>81</v>
      </c>
      <c r="E15" s="79">
        <f>C12</f>
        <v>4.0000000000000003E-5</v>
      </c>
      <c r="F15" s="75"/>
    </row>
    <row r="16" spans="1:7" s="61" customFormat="1" ht="15" customHeight="1" x14ac:dyDescent="0.25">
      <c r="A16" s="76" t="s">
        <v>82</v>
      </c>
      <c r="B16" s="73" t="s">
        <v>83</v>
      </c>
      <c r="C16" s="73">
        <v>2.2200000000000002</v>
      </c>
      <c r="D16" s="78" t="s">
        <v>84</v>
      </c>
      <c r="E16" s="73"/>
      <c r="F16" s="75"/>
    </row>
    <row r="17" spans="1:7" s="61" customFormat="1" ht="15" customHeight="1" x14ac:dyDescent="0.25">
      <c r="A17" s="80" t="s">
        <v>85</v>
      </c>
      <c r="B17" s="81"/>
      <c r="C17" s="82"/>
      <c r="D17" s="83"/>
      <c r="E17" s="84"/>
      <c r="F17" s="85">
        <f>ROUND((C13*C15)+(C14*C12),2)</f>
        <v>133.61000000000001</v>
      </c>
    </row>
    <row r="18" spans="1:7" s="61" customFormat="1" ht="15" customHeight="1" thickBot="1" x14ac:dyDescent="0.35">
      <c r="A18" s="86" t="str">
        <f>CONCATENATE("C=","(",C13,"*",C15,"+",C14,")","*",C16,)</f>
        <v>C=(668*0,200016+49)*2,22</v>
      </c>
      <c r="B18" s="87"/>
      <c r="C18" s="87"/>
      <c r="D18" s="87"/>
      <c r="E18" s="88"/>
      <c r="F18" s="89">
        <f>ROUND(PRODUCT(F17,C16,),2)</f>
        <v>296.61</v>
      </c>
      <c r="G18" s="90"/>
    </row>
    <row r="19" spans="1:7" s="61" customFormat="1" ht="32.25" customHeight="1" thickBot="1" x14ac:dyDescent="0.3">
      <c r="A19" s="91" t="s">
        <v>86</v>
      </c>
      <c r="B19" s="92"/>
      <c r="C19" s="93">
        <f>(50*2+8*2)/1000</f>
        <v>0.11600000000000001</v>
      </c>
      <c r="D19" s="94" t="s">
        <v>87</v>
      </c>
      <c r="E19" s="95" t="s">
        <v>74</v>
      </c>
      <c r="F19" s="96"/>
      <c r="G19" s="90"/>
    </row>
    <row r="20" spans="1:7" s="61" customFormat="1" ht="15" customHeight="1" x14ac:dyDescent="0.25">
      <c r="A20" s="97"/>
      <c r="B20" s="98" t="s">
        <v>75</v>
      </c>
      <c r="C20" s="98">
        <v>882</v>
      </c>
      <c r="D20" s="69" t="s">
        <v>88</v>
      </c>
      <c r="E20" s="99"/>
      <c r="F20" s="100"/>
      <c r="G20" s="90"/>
    </row>
    <row r="21" spans="1:7" s="61" customFormat="1" ht="15" customHeight="1" x14ac:dyDescent="0.25">
      <c r="A21" s="101"/>
      <c r="B21" s="81" t="s">
        <v>77</v>
      </c>
      <c r="C21" s="81">
        <v>11</v>
      </c>
      <c r="D21" s="78" t="s">
        <v>89</v>
      </c>
      <c r="E21" s="102"/>
      <c r="F21" s="103"/>
      <c r="G21" s="90"/>
    </row>
    <row r="22" spans="1:7" s="61" customFormat="1" ht="15" customHeight="1" x14ac:dyDescent="0.25">
      <c r="A22" s="104" t="s">
        <v>90</v>
      </c>
      <c r="B22" s="81" t="s">
        <v>80</v>
      </c>
      <c r="C22" s="105">
        <f>ROUND(SUM(1,-0.02*(40-E22)),2)</f>
        <v>0.2</v>
      </c>
      <c r="D22" s="81" t="s">
        <v>81</v>
      </c>
      <c r="E22" s="106">
        <f>C19</f>
        <v>0.11600000000000001</v>
      </c>
      <c r="F22" s="103"/>
    </row>
    <row r="23" spans="1:7" s="61" customFormat="1" ht="15" customHeight="1" x14ac:dyDescent="0.25">
      <c r="A23" s="76" t="s">
        <v>91</v>
      </c>
      <c r="B23" s="81" t="s">
        <v>92</v>
      </c>
      <c r="C23" s="107">
        <f>ROUND(SUM(1,0.05*(E23-1)),2)</f>
        <v>3.45</v>
      </c>
      <c r="D23" s="81" t="s">
        <v>93</v>
      </c>
      <c r="E23" s="108">
        <v>50</v>
      </c>
      <c r="F23" s="103"/>
      <c r="G23" s="90"/>
    </row>
    <row r="24" spans="1:7" s="61" customFormat="1" ht="15" customHeight="1" x14ac:dyDescent="0.25">
      <c r="A24" s="109" t="s">
        <v>94</v>
      </c>
      <c r="B24" s="81" t="s">
        <v>92</v>
      </c>
      <c r="C24" s="110">
        <v>1.5</v>
      </c>
      <c r="D24" s="81" t="s">
        <v>95</v>
      </c>
      <c r="E24" s="111"/>
      <c r="F24" s="112"/>
      <c r="G24" s="90"/>
    </row>
    <row r="25" spans="1:7" s="61" customFormat="1" ht="15" customHeight="1" x14ac:dyDescent="0.25">
      <c r="A25" s="76" t="s">
        <v>96</v>
      </c>
      <c r="B25" s="73" t="s">
        <v>83</v>
      </c>
      <c r="C25" s="73">
        <v>2.2200000000000002</v>
      </c>
      <c r="D25" s="78" t="s">
        <v>84</v>
      </c>
      <c r="E25" s="73"/>
      <c r="F25" s="75"/>
      <c r="G25" s="90"/>
    </row>
    <row r="26" spans="1:7" s="61" customFormat="1" ht="15" customHeight="1" x14ac:dyDescent="0.25">
      <c r="A26" s="113" t="s">
        <v>85</v>
      </c>
      <c r="B26" s="114"/>
      <c r="C26" s="102"/>
      <c r="D26" s="102"/>
      <c r="E26" s="102"/>
      <c r="F26" s="85">
        <f>ROUND((C20*C22)+(C21*C19*C23*C24),2)</f>
        <v>183</v>
      </c>
      <c r="G26" s="90"/>
    </row>
    <row r="27" spans="1:7" s="61" customFormat="1" ht="15" customHeight="1" thickBot="1" x14ac:dyDescent="0.35">
      <c r="A27" s="86" t="str">
        <f>CONCATENATE("C=","(",C20,"*",C22,"+",C21,"*",C19,"*",C23,"*",C24,")","*",C25,)</f>
        <v>C=(882*0,2+11*0,116*3,45*1,5)*2,22</v>
      </c>
      <c r="B27" s="87"/>
      <c r="C27" s="87"/>
      <c r="D27" s="87"/>
      <c r="E27" s="88"/>
      <c r="F27" s="89">
        <f>ROUND(PRODUCT(F26,C25,),2)</f>
        <v>406.26</v>
      </c>
      <c r="G27" s="90"/>
    </row>
    <row r="28" spans="1:7" ht="35.25" customHeight="1" thickBot="1" x14ac:dyDescent="0.3">
      <c r="A28" s="91" t="s">
        <v>97</v>
      </c>
      <c r="B28" s="115"/>
      <c r="C28" s="222">
        <f>C12</f>
        <v>4.0000000000000003E-5</v>
      </c>
      <c r="D28" s="94" t="s">
        <v>98</v>
      </c>
      <c r="E28" s="95" t="s">
        <v>74</v>
      </c>
      <c r="F28" s="116"/>
      <c r="G28" s="90"/>
    </row>
    <row r="29" spans="1:7" ht="15.75" customHeight="1" x14ac:dyDescent="0.25">
      <c r="A29" s="117"/>
      <c r="B29" s="118" t="s">
        <v>75</v>
      </c>
      <c r="C29" s="118">
        <v>56</v>
      </c>
      <c r="D29" s="69" t="s">
        <v>88</v>
      </c>
      <c r="E29" s="119"/>
      <c r="F29" s="120"/>
      <c r="G29" s="90"/>
    </row>
    <row r="30" spans="1:7" s="61" customFormat="1" ht="14.25" customHeight="1" x14ac:dyDescent="0.25">
      <c r="A30" s="121"/>
      <c r="B30" s="81" t="s">
        <v>77</v>
      </c>
      <c r="C30" s="118">
        <v>34</v>
      </c>
      <c r="D30" s="78" t="s">
        <v>99</v>
      </c>
      <c r="E30" s="119"/>
      <c r="F30" s="120"/>
    </row>
    <row r="31" spans="1:7" s="61" customFormat="1" ht="14.25" customHeight="1" x14ac:dyDescent="0.25">
      <c r="A31" s="122" t="s">
        <v>100</v>
      </c>
      <c r="B31" s="118" t="s">
        <v>80</v>
      </c>
      <c r="C31" s="123">
        <f>ROUND(SUM(1,-0.9*(1-E31)),2)</f>
        <v>0.1</v>
      </c>
      <c r="D31" s="118" t="s">
        <v>81</v>
      </c>
      <c r="E31" s="124">
        <f>C28</f>
        <v>4.0000000000000003E-5</v>
      </c>
      <c r="F31" s="120"/>
    </row>
    <row r="32" spans="1:7" ht="15.75" customHeight="1" x14ac:dyDescent="0.25">
      <c r="A32" s="122" t="s">
        <v>101</v>
      </c>
      <c r="B32" s="125" t="s">
        <v>92</v>
      </c>
      <c r="C32" s="126">
        <f>ROUND(SUM(1,-0.7*(1-E32)),2)</f>
        <v>0.3</v>
      </c>
      <c r="D32" s="118" t="s">
        <v>102</v>
      </c>
      <c r="E32" s="124">
        <f>E31</f>
        <v>4.0000000000000003E-5</v>
      </c>
      <c r="F32" s="120"/>
      <c r="G32" s="90"/>
    </row>
    <row r="33" spans="1:7" ht="15.75" customHeight="1" x14ac:dyDescent="0.25">
      <c r="A33" s="122" t="s">
        <v>103</v>
      </c>
      <c r="B33" s="118" t="s">
        <v>80</v>
      </c>
      <c r="C33" s="126">
        <f>ROUND(SUM(1,0.2*(E33-1)),2)</f>
        <v>10.8</v>
      </c>
      <c r="D33" s="118" t="s">
        <v>93</v>
      </c>
      <c r="E33" s="127">
        <f>E23</f>
        <v>50</v>
      </c>
      <c r="F33" s="120"/>
      <c r="G33" s="90"/>
    </row>
    <row r="34" spans="1:7" ht="15.75" customHeight="1" x14ac:dyDescent="0.25">
      <c r="A34" s="128" t="s">
        <v>104</v>
      </c>
      <c r="B34" s="98" t="s">
        <v>83</v>
      </c>
      <c r="C34" s="118">
        <v>1.99</v>
      </c>
      <c r="D34" s="129" t="s">
        <v>84</v>
      </c>
      <c r="E34" s="98"/>
      <c r="F34" s="120"/>
      <c r="G34" s="90"/>
    </row>
    <row r="35" spans="1:7" ht="15.75" customHeight="1" x14ac:dyDescent="0.25">
      <c r="A35" s="80" t="s">
        <v>85</v>
      </c>
      <c r="B35" s="130"/>
      <c r="C35" s="119"/>
      <c r="D35" s="119"/>
      <c r="E35" s="119"/>
      <c r="F35" s="85">
        <f>ROUND((C29*C31*C33)+(C30*C32*C28),2)</f>
        <v>60.48</v>
      </c>
      <c r="G35" s="90"/>
    </row>
    <row r="36" spans="1:7" ht="18.75" customHeight="1" thickBot="1" x14ac:dyDescent="0.35">
      <c r="A36" s="131" t="str">
        <f>CONCATENATE("C=","(",C29,"*",C31,"*",C33,"+",C30,"*",C32,")","*",C34,)</f>
        <v>C=(56*0,1*10,8+34*0,3)*1,99</v>
      </c>
      <c r="B36" s="132"/>
      <c r="C36" s="132"/>
      <c r="D36" s="132"/>
      <c r="E36" s="133"/>
      <c r="F36" s="134">
        <f>ROUND(PRODUCT(F35,C34),2)</f>
        <v>120.36</v>
      </c>
      <c r="G36" s="90"/>
    </row>
    <row r="37" spans="1:7" ht="19.5" customHeight="1" thickBot="1" x14ac:dyDescent="0.3">
      <c r="A37" s="306" t="str">
        <f>CONCATENATE("4.Подготовка технического плана")</f>
        <v>4.Подготовка технического плана</v>
      </c>
      <c r="B37" s="307"/>
      <c r="C37" s="224">
        <f>C12</f>
        <v>4.0000000000000003E-5</v>
      </c>
      <c r="D37" s="94" t="s">
        <v>105</v>
      </c>
      <c r="E37" s="136"/>
      <c r="F37" s="137"/>
      <c r="G37" s="90"/>
    </row>
    <row r="38" spans="1:7" ht="15.75" x14ac:dyDescent="0.25">
      <c r="A38" s="138"/>
      <c r="B38" s="98" t="s">
        <v>75</v>
      </c>
      <c r="C38" s="98">
        <v>1363</v>
      </c>
      <c r="D38" s="69" t="s">
        <v>76</v>
      </c>
      <c r="E38" s="70"/>
      <c r="F38" s="100"/>
      <c r="G38" s="90"/>
    </row>
    <row r="39" spans="1:7" ht="18" customHeight="1" x14ac:dyDescent="0.25">
      <c r="A39" s="139"/>
      <c r="B39" s="81" t="s">
        <v>77</v>
      </c>
      <c r="C39" s="81">
        <v>3431</v>
      </c>
      <c r="D39" s="304" t="s">
        <v>78</v>
      </c>
      <c r="E39" s="305"/>
      <c r="F39" s="103"/>
      <c r="G39" s="90"/>
    </row>
    <row r="40" spans="1:7" ht="18" customHeight="1" x14ac:dyDescent="0.25">
      <c r="A40" s="104" t="s">
        <v>106</v>
      </c>
      <c r="B40" s="81" t="s">
        <v>80</v>
      </c>
      <c r="C40" s="140">
        <f>ROUND(SUM(1,-0.9*(1-E40)),2)</f>
        <v>0.1</v>
      </c>
      <c r="D40" s="81" t="s">
        <v>81</v>
      </c>
      <c r="E40" s="141">
        <f>C37</f>
        <v>4.0000000000000003E-5</v>
      </c>
      <c r="F40" s="103"/>
      <c r="G40" s="90"/>
    </row>
    <row r="41" spans="1:7" ht="15.75" x14ac:dyDescent="0.25">
      <c r="A41" s="122" t="s">
        <v>107</v>
      </c>
      <c r="B41" s="118" t="s">
        <v>80</v>
      </c>
      <c r="C41" s="126">
        <f>ROUND(SUM(1,0.1*(E41-1)),2)</f>
        <v>5.9</v>
      </c>
      <c r="D41" s="118" t="s">
        <v>108</v>
      </c>
      <c r="E41" s="108">
        <f>E23</f>
        <v>50</v>
      </c>
      <c r="F41" s="112"/>
      <c r="G41" s="90"/>
    </row>
    <row r="42" spans="1:7" ht="15.75" x14ac:dyDescent="0.25">
      <c r="A42" s="76" t="s">
        <v>82</v>
      </c>
      <c r="B42" s="73" t="s">
        <v>83</v>
      </c>
      <c r="C42" s="73">
        <v>2.2200000000000002</v>
      </c>
      <c r="D42" s="78" t="s">
        <v>84</v>
      </c>
      <c r="E42" s="73"/>
      <c r="F42" s="75"/>
      <c r="G42" s="90"/>
    </row>
    <row r="43" spans="1:7" ht="15" x14ac:dyDescent="0.25">
      <c r="A43" s="80" t="s">
        <v>85</v>
      </c>
      <c r="B43" s="142"/>
      <c r="C43" s="142"/>
      <c r="D43" s="142"/>
      <c r="E43" s="143"/>
      <c r="F43" s="144">
        <f>ROUND((C38*C40*C41)+(C39*C37),2)</f>
        <v>804.31</v>
      </c>
    </row>
    <row r="44" spans="1:7" ht="16.5" x14ac:dyDescent="0.3">
      <c r="A44" s="131" t="str">
        <f>CONCATENATE("C=","(",C38,"*",C40,"*",C41,"+",C39,")","*",C42,)</f>
        <v>C=(1363*0,1*5,9+3431)*2,22</v>
      </c>
      <c r="B44" s="142"/>
      <c r="C44" s="142"/>
      <c r="D44" s="142"/>
      <c r="E44" s="143"/>
      <c r="F44" s="178">
        <f>F43*C42</f>
        <v>1785.5681999999999</v>
      </c>
    </row>
    <row r="45" spans="1:7" ht="16.5" x14ac:dyDescent="0.2">
      <c r="A45" s="308" t="str">
        <f>CONCATENATE("С=",F36,"+",F27,"+",F18,"+",F44,)</f>
        <v>С=120,36+406,26+296,61+1785,5682</v>
      </c>
      <c r="B45" s="309"/>
      <c r="C45" s="309"/>
      <c r="D45" s="309"/>
      <c r="E45" s="310"/>
      <c r="F45" s="145">
        <f>F18+F27+F36+F44</f>
        <v>2608.7982000000002</v>
      </c>
    </row>
    <row r="46" spans="1:7" ht="53.25" customHeight="1" thickBot="1" x14ac:dyDescent="0.25">
      <c r="A46" s="311" t="s">
        <v>150</v>
      </c>
      <c r="B46" s="301"/>
      <c r="C46" s="301"/>
      <c r="D46" s="312">
        <v>15.505899277999999</v>
      </c>
      <c r="E46" s="313"/>
      <c r="F46" s="145">
        <f>ROUND(F45*D46,0)</f>
        <v>40452</v>
      </c>
    </row>
    <row r="47" spans="1:7" ht="17.25" thickBot="1" x14ac:dyDescent="0.25">
      <c r="A47" s="300" t="s">
        <v>149</v>
      </c>
      <c r="B47" s="301"/>
      <c r="C47" s="301"/>
      <c r="D47" s="301"/>
      <c r="E47" s="146" t="s">
        <v>109</v>
      </c>
      <c r="F47" s="147">
        <f>E47*1</f>
        <v>2200</v>
      </c>
    </row>
    <row r="48" spans="1:7" ht="17.25" thickBot="1" x14ac:dyDescent="0.35">
      <c r="A48" s="148"/>
      <c r="B48" s="149"/>
      <c r="C48" s="149"/>
      <c r="D48" s="148" t="s">
        <v>111</v>
      </c>
      <c r="E48" s="150"/>
      <c r="F48" s="151">
        <f>F46+F47</f>
        <v>42652</v>
      </c>
    </row>
    <row r="49" spans="1:17" ht="12.75" customHeight="1" x14ac:dyDescent="0.25">
      <c r="A49" s="152"/>
      <c r="D49" s="90"/>
      <c r="E49" s="90"/>
      <c r="F49" s="90"/>
    </row>
    <row r="50" spans="1:17" s="248" customFormat="1" ht="15" x14ac:dyDescent="0.25">
      <c r="A50" s="247"/>
      <c r="C50" s="249"/>
      <c r="D50" s="250"/>
      <c r="E50" s="251"/>
      <c r="F50" s="252"/>
      <c r="G50" s="251"/>
      <c r="L50" s="252"/>
      <c r="M50" s="252"/>
      <c r="N50" s="246"/>
      <c r="O50" s="246"/>
      <c r="P50" s="246"/>
      <c r="Q50" s="246"/>
    </row>
    <row r="51" spans="1:17" s="248" customFormat="1" ht="15" customHeight="1" x14ac:dyDescent="0.25">
      <c r="A51" s="254"/>
      <c r="C51" s="254"/>
      <c r="D51" s="254"/>
      <c r="E51" s="251"/>
      <c r="F51" s="254"/>
      <c r="G51" s="251"/>
      <c r="L51" s="254"/>
      <c r="M51" s="254"/>
      <c r="N51" s="254"/>
      <c r="O51" s="254"/>
      <c r="P51" s="254"/>
      <c r="Q51" s="254"/>
    </row>
    <row r="52" spans="1:17" s="248" customFormat="1" ht="18.75" customHeight="1" x14ac:dyDescent="0.25">
      <c r="A52" s="247"/>
      <c r="C52" s="255"/>
      <c r="D52" s="250"/>
      <c r="E52" s="251"/>
      <c r="F52" s="256"/>
      <c r="G52" s="251"/>
      <c r="L52" s="256"/>
      <c r="M52" s="256"/>
      <c r="N52" s="246"/>
      <c r="O52" s="246"/>
      <c r="P52" s="246"/>
      <c r="Q52" s="246"/>
    </row>
    <row r="53" spans="1:17" s="248" customFormat="1" ht="15" customHeight="1" x14ac:dyDescent="0.25">
      <c r="A53" s="254"/>
      <c r="C53" s="254"/>
      <c r="D53" s="254"/>
      <c r="E53" s="251"/>
      <c r="F53" s="254"/>
      <c r="G53" s="251"/>
      <c r="L53" s="254"/>
      <c r="M53" s="254"/>
      <c r="N53" s="254"/>
      <c r="O53" s="254"/>
      <c r="P53" s="254"/>
      <c r="Q53" s="254"/>
    </row>
    <row r="54" spans="1:17" s="248" customFormat="1" ht="15.75" customHeight="1" x14ac:dyDescent="0.25">
      <c r="A54" s="247"/>
      <c r="C54" s="255"/>
      <c r="D54" s="250"/>
      <c r="E54" s="251"/>
      <c r="F54" s="256"/>
      <c r="G54" s="251"/>
      <c r="L54" s="256"/>
      <c r="M54" s="256"/>
      <c r="N54" s="246"/>
      <c r="O54" s="246"/>
      <c r="P54" s="246"/>
      <c r="Q54" s="246"/>
    </row>
    <row r="55" spans="1:17" s="248" customFormat="1" ht="15" x14ac:dyDescent="0.25">
      <c r="A55" s="250"/>
      <c r="C55" s="250"/>
      <c r="D55" s="250"/>
      <c r="E55" s="251"/>
      <c r="F55" s="250"/>
      <c r="G55" s="251"/>
      <c r="L55" s="251"/>
      <c r="M55" s="246"/>
      <c r="N55" s="246"/>
      <c r="O55" s="246"/>
      <c r="P55" s="246"/>
      <c r="Q55" s="246"/>
    </row>
    <row r="56" spans="1:17" s="248" customFormat="1" ht="15" customHeight="1" x14ac:dyDescent="0.25">
      <c r="A56" s="247"/>
      <c r="C56" s="257"/>
      <c r="D56" s="250"/>
      <c r="E56" s="251"/>
      <c r="F56" s="256"/>
      <c r="G56" s="251"/>
      <c r="L56" s="256"/>
      <c r="M56" s="256"/>
      <c r="N56" s="246"/>
      <c r="O56" s="246"/>
      <c r="P56" s="246"/>
      <c r="Q56" s="246"/>
    </row>
    <row r="57" spans="1:17" s="268" customFormat="1" ht="15" x14ac:dyDescent="0.25">
      <c r="A57" s="267"/>
      <c r="B57" s="267"/>
      <c r="C57" s="267"/>
      <c r="D57" s="267"/>
      <c r="E57" s="267"/>
      <c r="F57" s="267"/>
    </row>
    <row r="58" spans="1:17" ht="15.75" x14ac:dyDescent="0.25">
      <c r="A58" s="90"/>
      <c r="B58" s="90"/>
      <c r="C58" s="90"/>
      <c r="D58" s="90"/>
      <c r="E58" s="90"/>
    </row>
  </sheetData>
  <mergeCells count="14">
    <mergeCell ref="A11:C11"/>
    <mergeCell ref="C1:F1"/>
    <mergeCell ref="C2:F2"/>
    <mergeCell ref="A7:F7"/>
    <mergeCell ref="A8:F8"/>
    <mergeCell ref="A10:F10"/>
    <mergeCell ref="A47:D47"/>
    <mergeCell ref="A12:B12"/>
    <mergeCell ref="D14:E14"/>
    <mergeCell ref="A37:B37"/>
    <mergeCell ref="D39:E39"/>
    <mergeCell ref="A45:E45"/>
    <mergeCell ref="A46:C46"/>
    <mergeCell ref="D46:E46"/>
  </mergeCells>
  <pageMargins left="0.90551181102362199" right="0.70866141732283461" top="0.55118110236220474" bottom="0.74803149606299213" header="0.31496062992125984" footer="0.31496062992125984"/>
  <pageSetup paperSize="9" scale="63" fitToHeight="2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topLeftCell="A22" zoomScale="75" zoomScaleNormal="75" workbookViewId="0">
      <selection activeCell="A33" sqref="A33:XFD43"/>
    </sheetView>
  </sheetViews>
  <sheetFormatPr defaultRowHeight="15.75" outlineLevelRow="1" x14ac:dyDescent="0.25"/>
  <cols>
    <col min="1" max="1" width="4.5703125" style="154" customWidth="1"/>
    <col min="2" max="2" width="46.140625" style="154" customWidth="1"/>
    <col min="3" max="3" width="18.42578125" style="154" customWidth="1"/>
    <col min="4" max="4" width="10.140625" style="154" customWidth="1"/>
    <col min="5" max="5" width="16.5703125" style="154" customWidth="1"/>
    <col min="6" max="6" width="13.85546875" style="154" customWidth="1"/>
    <col min="7" max="7" width="14.28515625" style="154" customWidth="1"/>
    <col min="8" max="8" width="21" style="154" customWidth="1"/>
    <col min="9" max="9" width="6.140625" style="154" customWidth="1"/>
    <col min="10" max="10" width="7.140625" style="154" customWidth="1"/>
    <col min="11" max="11" width="18.7109375" style="154" customWidth="1"/>
    <col min="12" max="12" width="17" style="154" customWidth="1"/>
    <col min="13" max="16384" width="9.140625" style="154"/>
  </cols>
  <sheetData>
    <row r="1" spans="1:12" ht="88.5" customHeight="1" x14ac:dyDescent="0.3">
      <c r="A1" s="346" t="s">
        <v>155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</row>
    <row r="2" spans="1:12" ht="20.25" x14ac:dyDescent="0.3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2" ht="41.25" customHeight="1" x14ac:dyDescent="0.3">
      <c r="A3" s="348" t="s">
        <v>112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</row>
    <row r="4" spans="1:12" x14ac:dyDescent="0.25">
      <c r="C4" s="156"/>
    </row>
    <row r="5" spans="1:12" ht="18.75" x14ac:dyDescent="0.25">
      <c r="A5" s="154" t="s">
        <v>113</v>
      </c>
      <c r="C5" s="157">
        <f>50*8/10000</f>
        <v>0.04</v>
      </c>
    </row>
    <row r="6" spans="1:12" ht="18.75" x14ac:dyDescent="0.25">
      <c r="A6" s="154" t="s">
        <v>114</v>
      </c>
      <c r="C6" s="158">
        <v>33</v>
      </c>
    </row>
    <row r="7" spans="1:12" ht="18.75" x14ac:dyDescent="0.25">
      <c r="A7" s="349" t="s">
        <v>115</v>
      </c>
      <c r="B7" s="349"/>
      <c r="C7" s="159">
        <v>1</v>
      </c>
    </row>
    <row r="8" spans="1:12" ht="18.75" x14ac:dyDescent="0.25">
      <c r="A8" s="160" t="s">
        <v>116</v>
      </c>
      <c r="B8" s="160"/>
      <c r="C8" s="161">
        <v>1</v>
      </c>
    </row>
    <row r="9" spans="1:12" ht="18.75" outlineLevel="1" x14ac:dyDescent="0.25">
      <c r="A9" s="349" t="s">
        <v>117</v>
      </c>
      <c r="B9" s="349"/>
      <c r="C9" s="162">
        <v>1</v>
      </c>
    </row>
    <row r="10" spans="1:12" ht="18.75" outlineLevel="1" x14ac:dyDescent="0.25">
      <c r="A10" s="349" t="s">
        <v>118</v>
      </c>
      <c r="B10" s="349"/>
      <c r="C10" s="162">
        <v>1</v>
      </c>
    </row>
    <row r="11" spans="1:12" ht="18" customHeight="1" x14ac:dyDescent="0.25">
      <c r="K11" s="163"/>
      <c r="L11" s="163"/>
    </row>
    <row r="12" spans="1:12" ht="39" customHeight="1" x14ac:dyDescent="0.25">
      <c r="A12" s="344" t="s">
        <v>119</v>
      </c>
      <c r="B12" s="340" t="s">
        <v>120</v>
      </c>
      <c r="C12" s="340" t="s">
        <v>50</v>
      </c>
      <c r="D12" s="340" t="s">
        <v>121</v>
      </c>
      <c r="E12" s="340" t="s">
        <v>122</v>
      </c>
      <c r="F12" s="339" t="s">
        <v>123</v>
      </c>
      <c r="G12" s="340"/>
      <c r="H12" s="339" t="s">
        <v>124</v>
      </c>
      <c r="I12" s="340"/>
      <c r="J12" s="340"/>
      <c r="K12" s="339" t="s">
        <v>125</v>
      </c>
      <c r="L12" s="164"/>
    </row>
    <row r="13" spans="1:12" ht="24" customHeight="1" x14ac:dyDescent="0.25">
      <c r="A13" s="345"/>
      <c r="B13" s="340"/>
      <c r="C13" s="340"/>
      <c r="D13" s="340"/>
      <c r="E13" s="340"/>
      <c r="F13" s="165" t="s">
        <v>126</v>
      </c>
      <c r="G13" s="165" t="s">
        <v>127</v>
      </c>
      <c r="H13" s="340"/>
      <c r="I13" s="340"/>
      <c r="J13" s="340"/>
      <c r="K13" s="340"/>
      <c r="L13" s="164"/>
    </row>
    <row r="14" spans="1:12" ht="15.75" customHeight="1" x14ac:dyDescent="0.25">
      <c r="A14" s="325">
        <v>1</v>
      </c>
      <c r="B14" s="341" t="s">
        <v>128</v>
      </c>
      <c r="C14" s="325" t="s">
        <v>129</v>
      </c>
      <c r="D14" s="325" t="s">
        <v>130</v>
      </c>
      <c r="E14" s="325">
        <f>C5/1000</f>
        <v>4.0000000000000003E-5</v>
      </c>
      <c r="F14" s="325">
        <v>668</v>
      </c>
      <c r="G14" s="325">
        <v>49</v>
      </c>
      <c r="H14" s="166" t="s">
        <v>131</v>
      </c>
      <c r="I14" s="166" t="s">
        <v>132</v>
      </c>
      <c r="J14" s="167">
        <f>ROUND((1-0.4*(2-E14)),3)</f>
        <v>0.2</v>
      </c>
      <c r="K14" s="325">
        <f>ROUND((F14*J14*J15+G14*J15*E14)*J16,2)*J17</f>
        <v>292.45</v>
      </c>
      <c r="L14" s="163"/>
    </row>
    <row r="15" spans="1:12" ht="18.75" x14ac:dyDescent="0.25">
      <c r="A15" s="326"/>
      <c r="B15" s="342"/>
      <c r="C15" s="326"/>
      <c r="D15" s="326"/>
      <c r="E15" s="326"/>
      <c r="F15" s="326"/>
      <c r="G15" s="326"/>
      <c r="H15" s="166" t="s">
        <v>133</v>
      </c>
      <c r="I15" s="166" t="s">
        <v>134</v>
      </c>
      <c r="J15" s="167">
        <f>1+0.1*C7</f>
        <v>1.1000000000000001</v>
      </c>
      <c r="K15" s="326"/>
      <c r="L15" s="163"/>
    </row>
    <row r="16" spans="1:12" ht="17.25" customHeight="1" x14ac:dyDescent="0.3">
      <c r="A16" s="326"/>
      <c r="B16" s="342"/>
      <c r="C16" s="326"/>
      <c r="D16" s="326"/>
      <c r="E16" s="326"/>
      <c r="F16" s="326"/>
      <c r="G16" s="326"/>
      <c r="H16" s="168" t="s">
        <v>135</v>
      </c>
      <c r="I16" s="168" t="s">
        <v>134</v>
      </c>
      <c r="J16" s="169">
        <v>1.99</v>
      </c>
      <c r="K16" s="326"/>
      <c r="L16" s="163"/>
    </row>
    <row r="17" spans="1:12" ht="18.75" x14ac:dyDescent="0.3">
      <c r="A17" s="327"/>
      <c r="B17" s="343"/>
      <c r="C17" s="327"/>
      <c r="D17" s="327"/>
      <c r="E17" s="327"/>
      <c r="F17" s="327"/>
      <c r="G17" s="327"/>
      <c r="H17" s="168" t="s">
        <v>136</v>
      </c>
      <c r="I17" s="168" t="s">
        <v>134</v>
      </c>
      <c r="J17" s="169">
        <f>C9</f>
        <v>1</v>
      </c>
      <c r="K17" s="327"/>
      <c r="L17" s="163"/>
    </row>
    <row r="18" spans="1:12" ht="18.75" x14ac:dyDescent="0.3">
      <c r="A18" s="170"/>
      <c r="B18" s="171"/>
      <c r="C18" s="170"/>
      <c r="D18" s="170"/>
      <c r="E18" s="170"/>
      <c r="F18" s="170"/>
      <c r="G18" s="170"/>
      <c r="H18" s="168" t="s">
        <v>154</v>
      </c>
      <c r="I18" s="168" t="s">
        <v>134</v>
      </c>
      <c r="J18" s="169">
        <v>2.2200000000000002</v>
      </c>
      <c r="K18" s="170">
        <f>K14*J18</f>
        <v>649.23900000000003</v>
      </c>
      <c r="L18" s="163"/>
    </row>
    <row r="19" spans="1:12" ht="18.75" x14ac:dyDescent="0.3">
      <c r="A19" s="170">
        <v>2</v>
      </c>
      <c r="B19" s="171" t="s">
        <v>137</v>
      </c>
      <c r="C19" s="170" t="s">
        <v>138</v>
      </c>
      <c r="D19" s="170" t="s">
        <v>139</v>
      </c>
      <c r="E19" s="170">
        <v>10</v>
      </c>
      <c r="F19" s="170"/>
      <c r="G19" s="170"/>
      <c r="H19" s="168"/>
      <c r="I19" s="168"/>
      <c r="J19" s="169"/>
      <c r="K19" s="170">
        <f>E19%*K14</f>
        <v>29.245000000000001</v>
      </c>
      <c r="L19" s="163"/>
    </row>
    <row r="20" spans="1:12" ht="15.75" customHeight="1" x14ac:dyDescent="0.25">
      <c r="A20" s="325">
        <v>3</v>
      </c>
      <c r="B20" s="336" t="s">
        <v>140</v>
      </c>
      <c r="C20" s="328" t="s">
        <v>141</v>
      </c>
      <c r="D20" s="328" t="s">
        <v>130</v>
      </c>
      <c r="E20" s="328">
        <f>C5/1000</f>
        <v>4.0000000000000003E-5</v>
      </c>
      <c r="F20" s="328">
        <v>355</v>
      </c>
      <c r="G20" s="328">
        <v>22</v>
      </c>
      <c r="H20" s="172" t="s">
        <v>142</v>
      </c>
      <c r="I20" s="166" t="s">
        <v>132</v>
      </c>
      <c r="J20" s="167">
        <f>ROUND((1-0.45*(2-E20)),3)</f>
        <v>0.1</v>
      </c>
      <c r="K20" s="325">
        <f>ROUND(((F20*J20*J21+G20*E20*J22*J23)*J24*J25),2)*J26</f>
        <v>81.61</v>
      </c>
      <c r="L20" s="163"/>
    </row>
    <row r="21" spans="1:12" ht="18.75" x14ac:dyDescent="0.25">
      <c r="A21" s="326"/>
      <c r="B21" s="337"/>
      <c r="C21" s="328"/>
      <c r="D21" s="328"/>
      <c r="E21" s="328"/>
      <c r="F21" s="328"/>
      <c r="G21" s="328"/>
      <c r="H21" s="172" t="s">
        <v>143</v>
      </c>
      <c r="I21" s="166" t="s">
        <v>132</v>
      </c>
      <c r="J21" s="167">
        <f>1+0.05*C7</f>
        <v>1.05</v>
      </c>
      <c r="K21" s="326"/>
      <c r="L21" s="163"/>
    </row>
    <row r="22" spans="1:12" ht="18.75" x14ac:dyDescent="0.25">
      <c r="A22" s="326"/>
      <c r="B22" s="337"/>
      <c r="C22" s="328"/>
      <c r="D22" s="328"/>
      <c r="E22" s="328"/>
      <c r="F22" s="328"/>
      <c r="G22" s="328"/>
      <c r="H22" s="172" t="s">
        <v>144</v>
      </c>
      <c r="I22" s="166" t="s">
        <v>145</v>
      </c>
      <c r="J22" s="167">
        <f>1+0.1*(C6-5)</f>
        <v>3.8000000000000003</v>
      </c>
      <c r="K22" s="326"/>
      <c r="L22" s="163"/>
    </row>
    <row r="23" spans="1:12" ht="18.75" x14ac:dyDescent="0.25">
      <c r="A23" s="326"/>
      <c r="B23" s="337"/>
      <c r="C23" s="328"/>
      <c r="D23" s="328"/>
      <c r="E23" s="328"/>
      <c r="F23" s="328"/>
      <c r="G23" s="328"/>
      <c r="H23" s="172" t="s">
        <v>146</v>
      </c>
      <c r="I23" s="166" t="s">
        <v>145</v>
      </c>
      <c r="J23" s="167">
        <v>1.6</v>
      </c>
      <c r="K23" s="326"/>
      <c r="L23" s="163"/>
    </row>
    <row r="24" spans="1:12" ht="18.75" x14ac:dyDescent="0.25">
      <c r="A24" s="326"/>
      <c r="B24" s="337"/>
      <c r="C24" s="328"/>
      <c r="D24" s="328"/>
      <c r="E24" s="328"/>
      <c r="F24" s="328"/>
      <c r="G24" s="328"/>
      <c r="H24" s="172" t="s">
        <v>147</v>
      </c>
      <c r="I24" s="166" t="s">
        <v>134</v>
      </c>
      <c r="J24" s="167">
        <f>1+0.1*C8</f>
        <v>1.1000000000000001</v>
      </c>
      <c r="K24" s="326"/>
    </row>
    <row r="25" spans="1:12" ht="18.75" x14ac:dyDescent="0.3">
      <c r="A25" s="326"/>
      <c r="B25" s="337"/>
      <c r="C25" s="328"/>
      <c r="D25" s="328"/>
      <c r="E25" s="328"/>
      <c r="F25" s="328"/>
      <c r="G25" s="328"/>
      <c r="H25" s="173" t="s">
        <v>135</v>
      </c>
      <c r="I25" s="168" t="s">
        <v>134</v>
      </c>
      <c r="J25" s="169">
        <v>1.99</v>
      </c>
      <c r="K25" s="326"/>
    </row>
    <row r="26" spans="1:12" ht="18.75" x14ac:dyDescent="0.3">
      <c r="A26" s="327"/>
      <c r="B26" s="338"/>
      <c r="C26" s="328"/>
      <c r="D26" s="328"/>
      <c r="E26" s="328"/>
      <c r="F26" s="328"/>
      <c r="G26" s="328"/>
      <c r="H26" s="168" t="s">
        <v>136</v>
      </c>
      <c r="I26" s="168" t="s">
        <v>134</v>
      </c>
      <c r="J26" s="169">
        <f>C9</f>
        <v>1</v>
      </c>
      <c r="K26" s="327"/>
    </row>
    <row r="27" spans="1:12" ht="18.75" x14ac:dyDescent="0.3">
      <c r="A27" s="170"/>
      <c r="B27" s="171"/>
      <c r="C27" s="170"/>
      <c r="D27" s="170"/>
      <c r="E27" s="170"/>
      <c r="F27" s="170"/>
      <c r="G27" s="170"/>
      <c r="H27" s="168" t="s">
        <v>154</v>
      </c>
      <c r="I27" s="168" t="s">
        <v>134</v>
      </c>
      <c r="J27" s="169">
        <v>1.99</v>
      </c>
      <c r="K27" s="170">
        <f>K20*J27</f>
        <v>162.40389999999999</v>
      </c>
      <c r="L27" s="163"/>
    </row>
    <row r="28" spans="1:12" ht="18.75" x14ac:dyDescent="0.25">
      <c r="A28" s="174">
        <v>4</v>
      </c>
      <c r="B28" s="329" t="s">
        <v>110</v>
      </c>
      <c r="C28" s="330"/>
      <c r="D28" s="330"/>
      <c r="E28" s="330"/>
      <c r="F28" s="330"/>
      <c r="G28" s="330"/>
      <c r="H28" s="330"/>
      <c r="I28" s="330"/>
      <c r="J28" s="331"/>
      <c r="K28" s="174">
        <f>SUM(K18:K19)+K27</f>
        <v>840.88790000000006</v>
      </c>
    </row>
    <row r="29" spans="1:12" ht="48" customHeight="1" x14ac:dyDescent="0.3">
      <c r="A29" s="165">
        <v>5</v>
      </c>
      <c r="B29" s="332" t="s">
        <v>152</v>
      </c>
      <c r="C29" s="333"/>
      <c r="D29" s="333"/>
      <c r="E29" s="333"/>
      <c r="F29" s="333"/>
      <c r="G29" s="333"/>
      <c r="H29" s="175" t="s">
        <v>134</v>
      </c>
      <c r="I29" s="334">
        <v>15.505899277999999</v>
      </c>
      <c r="J29" s="335"/>
      <c r="K29" s="179">
        <f>ROUND((K28*I29),0)</f>
        <v>13039</v>
      </c>
    </row>
    <row r="30" spans="1:12" ht="18.75" x14ac:dyDescent="0.3">
      <c r="A30" s="176">
        <v>7</v>
      </c>
      <c r="B30" s="322" t="s">
        <v>111</v>
      </c>
      <c r="C30" s="323"/>
      <c r="D30" s="323"/>
      <c r="E30" s="323"/>
      <c r="F30" s="323"/>
      <c r="G30" s="323"/>
      <c r="H30" s="323"/>
      <c r="I30" s="323"/>
      <c r="J30" s="324"/>
      <c r="K30" s="177">
        <f>K29</f>
        <v>13039</v>
      </c>
    </row>
    <row r="33" spans="1:17" s="38" customFormat="1" x14ac:dyDescent="0.25">
      <c r="A33" s="39"/>
      <c r="C33" s="40"/>
      <c r="D33" s="41"/>
      <c r="E33" s="37"/>
      <c r="G33" s="37"/>
      <c r="H33" s="45"/>
      <c r="L33" s="45"/>
      <c r="M33" s="45"/>
      <c r="N33" s="30"/>
      <c r="O33" s="30"/>
      <c r="P33" s="30"/>
      <c r="Q33" s="30"/>
    </row>
    <row r="34" spans="1:17" s="38" customFormat="1" ht="15" customHeight="1" x14ac:dyDescent="0.25">
      <c r="A34" s="42"/>
      <c r="C34" s="42"/>
      <c r="D34" s="42"/>
      <c r="E34" s="37"/>
      <c r="G34" s="37"/>
      <c r="H34" s="42"/>
      <c r="L34" s="42"/>
      <c r="M34" s="42"/>
      <c r="N34" s="42"/>
      <c r="O34" s="42"/>
      <c r="P34" s="42"/>
      <c r="Q34" s="42"/>
    </row>
    <row r="35" spans="1:17" s="38" customFormat="1" ht="18.75" customHeight="1" x14ac:dyDescent="0.25">
      <c r="A35" s="39"/>
      <c r="C35" s="43"/>
      <c r="D35" s="41"/>
      <c r="E35" s="37"/>
      <c r="G35" s="37"/>
      <c r="H35" s="46"/>
      <c r="L35" s="46"/>
      <c r="M35" s="46"/>
      <c r="N35" s="30"/>
      <c r="O35" s="30"/>
      <c r="P35" s="30"/>
      <c r="Q35" s="30"/>
    </row>
    <row r="36" spans="1:17" s="38" customFormat="1" ht="15" customHeight="1" x14ac:dyDescent="0.25">
      <c r="A36" s="42"/>
      <c r="C36" s="42"/>
      <c r="D36" s="42"/>
      <c r="E36" s="37"/>
      <c r="G36" s="37"/>
      <c r="H36" s="42"/>
      <c r="L36" s="42"/>
      <c r="M36" s="42"/>
      <c r="N36" s="42"/>
      <c r="O36" s="42"/>
      <c r="P36" s="42"/>
      <c r="Q36" s="42"/>
    </row>
    <row r="37" spans="1:17" s="38" customFormat="1" ht="15.75" customHeight="1" x14ac:dyDescent="0.25">
      <c r="A37" s="39"/>
      <c r="C37" s="43"/>
      <c r="D37" s="41"/>
      <c r="E37" s="37"/>
      <c r="G37" s="37"/>
      <c r="H37" s="46"/>
      <c r="L37" s="46"/>
      <c r="M37" s="46"/>
      <c r="N37" s="30"/>
      <c r="O37" s="30"/>
      <c r="P37" s="30"/>
      <c r="Q37" s="30"/>
    </row>
    <row r="38" spans="1:17" s="38" customFormat="1" x14ac:dyDescent="0.25">
      <c r="A38" s="41"/>
      <c r="C38" s="41"/>
      <c r="D38" s="41"/>
      <c r="E38" s="37"/>
      <c r="G38" s="37"/>
      <c r="H38" s="41"/>
      <c r="L38" s="37"/>
      <c r="M38" s="30"/>
      <c r="N38" s="30"/>
      <c r="O38" s="30"/>
      <c r="P38" s="30"/>
      <c r="Q38" s="30"/>
    </row>
    <row r="39" spans="1:17" s="38" customFormat="1" ht="15" customHeight="1" x14ac:dyDescent="0.25">
      <c r="A39" s="39"/>
      <c r="C39" s="44"/>
      <c r="D39" s="41"/>
      <c r="E39" s="37"/>
      <c r="G39" s="37"/>
      <c r="H39" s="46"/>
      <c r="L39" s="46"/>
      <c r="M39" s="46"/>
      <c r="N39" s="30"/>
      <c r="O39" s="30"/>
      <c r="P39" s="30"/>
      <c r="Q39" s="30"/>
    </row>
    <row r="40" spans="1:17" s="53" customFormat="1" x14ac:dyDescent="0.25">
      <c r="A40" s="90"/>
      <c r="B40" s="90"/>
      <c r="C40" s="90"/>
      <c r="D40" s="90"/>
      <c r="E40" s="90"/>
      <c r="F40" s="90"/>
    </row>
  </sheetData>
  <mergeCells count="33">
    <mergeCell ref="A1:K1"/>
    <mergeCell ref="A3:K3"/>
    <mergeCell ref="A7:B7"/>
    <mergeCell ref="A9:B9"/>
    <mergeCell ref="A10:B10"/>
    <mergeCell ref="H12:J13"/>
    <mergeCell ref="K12:K13"/>
    <mergeCell ref="A14:A17"/>
    <mergeCell ref="B14:B17"/>
    <mergeCell ref="C14:C17"/>
    <mergeCell ref="D14:D17"/>
    <mergeCell ref="E14:E17"/>
    <mergeCell ref="F14:F17"/>
    <mergeCell ref="D12:D13"/>
    <mergeCell ref="K14:K17"/>
    <mergeCell ref="A12:A13"/>
    <mergeCell ref="B12:B13"/>
    <mergeCell ref="C12:C13"/>
    <mergeCell ref="E12:E13"/>
    <mergeCell ref="F12:G12"/>
    <mergeCell ref="A20:A26"/>
    <mergeCell ref="B20:B26"/>
    <mergeCell ref="C20:C26"/>
    <mergeCell ref="D20:D26"/>
    <mergeCell ref="E20:E26"/>
    <mergeCell ref="B30:J30"/>
    <mergeCell ref="G14:G17"/>
    <mergeCell ref="F20:F26"/>
    <mergeCell ref="G20:G26"/>
    <mergeCell ref="K20:K26"/>
    <mergeCell ref="B28:J28"/>
    <mergeCell ref="B29:G29"/>
    <mergeCell ref="I29:J29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8"/>
  <sheetViews>
    <sheetView topLeftCell="A42" zoomScale="85" zoomScaleNormal="85" workbookViewId="0">
      <selection activeCell="A50" sqref="A50:XFD58"/>
    </sheetView>
  </sheetViews>
  <sheetFormatPr defaultRowHeight="12.75" x14ac:dyDescent="0.2"/>
  <cols>
    <col min="1" max="1" width="48.28515625" style="53" customWidth="1"/>
    <col min="2" max="2" width="13.42578125" style="53" customWidth="1"/>
    <col min="3" max="3" width="14.5703125" style="53" customWidth="1"/>
    <col min="4" max="4" width="12.7109375" style="53" customWidth="1"/>
    <col min="5" max="5" width="14.28515625" style="53" customWidth="1"/>
    <col min="6" max="6" width="27.7109375" style="53" customWidth="1"/>
    <col min="7" max="7" width="13.7109375" style="53" customWidth="1"/>
    <col min="8" max="16384" width="9.140625" style="53"/>
  </cols>
  <sheetData>
    <row r="1" spans="1:7" ht="29.25" hidden="1" customHeight="1" x14ac:dyDescent="0.3">
      <c r="C1" s="316" t="s">
        <v>66</v>
      </c>
      <c r="D1" s="317"/>
      <c r="E1" s="317"/>
      <c r="F1" s="317"/>
    </row>
    <row r="2" spans="1:7" ht="15.75" hidden="1" customHeight="1" x14ac:dyDescent="0.25">
      <c r="C2" s="318" t="s">
        <v>67</v>
      </c>
      <c r="D2" s="317"/>
      <c r="E2" s="317"/>
      <c r="F2" s="317"/>
    </row>
    <row r="3" spans="1:7" ht="38.25" hidden="1" customHeight="1" x14ac:dyDescent="0.25">
      <c r="D3" s="54" t="s">
        <v>68</v>
      </c>
      <c r="E3" s="55"/>
      <c r="F3" s="55"/>
    </row>
    <row r="4" spans="1:7" ht="28.5" hidden="1" customHeight="1" x14ac:dyDescent="0.25">
      <c r="D4" s="54" t="s">
        <v>69</v>
      </c>
      <c r="E4" s="55"/>
      <c r="F4" s="55"/>
    </row>
    <row r="5" spans="1:7" ht="18" hidden="1" customHeight="1" x14ac:dyDescent="0.2">
      <c r="F5" s="56"/>
    </row>
    <row r="6" spans="1:7" ht="12" customHeight="1" x14ac:dyDescent="0.2">
      <c r="F6" s="56"/>
    </row>
    <row r="7" spans="1:7" ht="18" customHeight="1" x14ac:dyDescent="0.35">
      <c r="A7" s="319" t="s">
        <v>156</v>
      </c>
      <c r="B7" s="319"/>
      <c r="C7" s="319"/>
      <c r="D7" s="319"/>
      <c r="E7" s="319"/>
      <c r="F7" s="319"/>
      <c r="G7" s="57"/>
    </row>
    <row r="8" spans="1:7" ht="18" customHeight="1" x14ac:dyDescent="0.25">
      <c r="A8" s="320" t="s">
        <v>70</v>
      </c>
      <c r="B8" s="320"/>
      <c r="C8" s="320"/>
      <c r="D8" s="320"/>
      <c r="E8" s="320"/>
      <c r="F8" s="320"/>
      <c r="G8" s="57"/>
    </row>
    <row r="9" spans="1:7" ht="14.25" customHeight="1" x14ac:dyDescent="0.2">
      <c r="A9" s="58"/>
      <c r="B9" s="58"/>
      <c r="C9" s="58"/>
      <c r="D9" s="58"/>
      <c r="E9" s="58"/>
      <c r="F9" s="58"/>
      <c r="G9" s="58"/>
    </row>
    <row r="10" spans="1:7" ht="48.75" customHeight="1" x14ac:dyDescent="0.2">
      <c r="A10" s="315" t="s">
        <v>157</v>
      </c>
      <c r="B10" s="321"/>
      <c r="C10" s="321"/>
      <c r="D10" s="321"/>
      <c r="E10" s="321"/>
      <c r="F10" s="321"/>
      <c r="G10" s="59"/>
    </row>
    <row r="11" spans="1:7" s="61" customFormat="1" ht="18.75" customHeight="1" thickBot="1" x14ac:dyDescent="0.25">
      <c r="A11" s="314" t="s">
        <v>71</v>
      </c>
      <c r="B11" s="314"/>
      <c r="C11" s="315"/>
      <c r="D11" s="60"/>
      <c r="E11" s="60"/>
      <c r="F11" s="60"/>
    </row>
    <row r="12" spans="1:7" s="61" customFormat="1" ht="36" customHeight="1" thickBot="1" x14ac:dyDescent="0.3">
      <c r="A12" s="302" t="s">
        <v>72</v>
      </c>
      <c r="B12" s="303"/>
      <c r="C12" s="62">
        <f>(1360*8)/10000/1000</f>
        <v>1.088E-3</v>
      </c>
      <c r="D12" s="63" t="s">
        <v>73</v>
      </c>
      <c r="E12" s="64" t="s">
        <v>74</v>
      </c>
      <c r="F12" s="65"/>
    </row>
    <row r="13" spans="1:7" s="61" customFormat="1" ht="17.25" customHeight="1" x14ac:dyDescent="0.3">
      <c r="A13" s="66"/>
      <c r="B13" s="67" t="s">
        <v>75</v>
      </c>
      <c r="C13" s="68">
        <f>668</f>
        <v>668</v>
      </c>
      <c r="D13" s="69" t="s">
        <v>76</v>
      </c>
      <c r="E13" s="70"/>
      <c r="F13" s="71"/>
    </row>
    <row r="14" spans="1:7" s="61" customFormat="1" ht="16.5" customHeight="1" x14ac:dyDescent="0.25">
      <c r="A14" s="72"/>
      <c r="B14" s="73" t="s">
        <v>77</v>
      </c>
      <c r="C14" s="74">
        <f>49</f>
        <v>49</v>
      </c>
      <c r="D14" s="304" t="s">
        <v>78</v>
      </c>
      <c r="E14" s="305"/>
      <c r="F14" s="75"/>
    </row>
    <row r="15" spans="1:7" s="61" customFormat="1" ht="13.5" customHeight="1" x14ac:dyDescent="0.25">
      <c r="A15" s="76" t="s">
        <v>79</v>
      </c>
      <c r="B15" s="73" t="s">
        <v>80</v>
      </c>
      <c r="C15" s="77">
        <f>1-0.4*(2-E15)</f>
        <v>0.20043519999999992</v>
      </c>
      <c r="D15" s="78" t="s">
        <v>81</v>
      </c>
      <c r="E15" s="79">
        <f>C12</f>
        <v>1.088E-3</v>
      </c>
      <c r="F15" s="75"/>
    </row>
    <row r="16" spans="1:7" s="61" customFormat="1" ht="15" customHeight="1" x14ac:dyDescent="0.25">
      <c r="A16" s="76" t="s">
        <v>82</v>
      </c>
      <c r="B16" s="73" t="s">
        <v>83</v>
      </c>
      <c r="C16" s="73">
        <v>2.2200000000000002</v>
      </c>
      <c r="D16" s="78" t="s">
        <v>84</v>
      </c>
      <c r="E16" s="73"/>
      <c r="F16" s="75"/>
    </row>
    <row r="17" spans="1:7" s="61" customFormat="1" ht="15" customHeight="1" x14ac:dyDescent="0.25">
      <c r="A17" s="80" t="s">
        <v>85</v>
      </c>
      <c r="B17" s="81"/>
      <c r="C17" s="82"/>
      <c r="D17" s="83"/>
      <c r="E17" s="84"/>
      <c r="F17" s="85">
        <f>ROUND((C13*C15)+(C14*C12),2)</f>
        <v>133.94</v>
      </c>
    </row>
    <row r="18" spans="1:7" s="61" customFormat="1" ht="15" customHeight="1" thickBot="1" x14ac:dyDescent="0.35">
      <c r="A18" s="86" t="str">
        <f>CONCATENATE("C=","(",C13,"*",C15,"+",C14,")","*",C16,)</f>
        <v>C=(668*0,2004352+49)*2,22</v>
      </c>
      <c r="B18" s="87"/>
      <c r="C18" s="87"/>
      <c r="D18" s="87"/>
      <c r="E18" s="88"/>
      <c r="F18" s="89">
        <f>ROUND(PRODUCT(F17,C16,),2)</f>
        <v>297.35000000000002</v>
      </c>
      <c r="G18" s="90"/>
    </row>
    <row r="19" spans="1:7" s="61" customFormat="1" ht="32.25" customHeight="1" thickBot="1" x14ac:dyDescent="0.3">
      <c r="A19" s="91" t="s">
        <v>86</v>
      </c>
      <c r="B19" s="92"/>
      <c r="C19" s="93">
        <f>(1360*2+8*2)/1000</f>
        <v>2.7360000000000002</v>
      </c>
      <c r="D19" s="94" t="s">
        <v>87</v>
      </c>
      <c r="E19" s="95" t="s">
        <v>74</v>
      </c>
      <c r="F19" s="96"/>
      <c r="G19" s="90"/>
    </row>
    <row r="20" spans="1:7" s="61" customFormat="1" ht="15" customHeight="1" x14ac:dyDescent="0.25">
      <c r="A20" s="97"/>
      <c r="B20" s="98" t="s">
        <v>75</v>
      </c>
      <c r="C20" s="98">
        <v>882</v>
      </c>
      <c r="D20" s="69" t="s">
        <v>88</v>
      </c>
      <c r="E20" s="99"/>
      <c r="F20" s="100"/>
      <c r="G20" s="90"/>
    </row>
    <row r="21" spans="1:7" s="61" customFormat="1" ht="15" customHeight="1" x14ac:dyDescent="0.25">
      <c r="A21" s="101"/>
      <c r="B21" s="81" t="s">
        <v>77</v>
      </c>
      <c r="C21" s="81">
        <v>11</v>
      </c>
      <c r="D21" s="78" t="s">
        <v>89</v>
      </c>
      <c r="E21" s="102"/>
      <c r="F21" s="103"/>
      <c r="G21" s="90"/>
    </row>
    <row r="22" spans="1:7" s="61" customFormat="1" ht="15" customHeight="1" x14ac:dyDescent="0.25">
      <c r="A22" s="104" t="s">
        <v>90</v>
      </c>
      <c r="B22" s="81" t="s">
        <v>80</v>
      </c>
      <c r="C22" s="105">
        <f>ROUND(SUM(1,-0.02*(40-E22)),2)</f>
        <v>0.25</v>
      </c>
      <c r="D22" s="81" t="s">
        <v>81</v>
      </c>
      <c r="E22" s="106">
        <f>C19</f>
        <v>2.7360000000000002</v>
      </c>
      <c r="F22" s="103"/>
    </row>
    <row r="23" spans="1:7" s="61" customFormat="1" ht="15" customHeight="1" x14ac:dyDescent="0.25">
      <c r="A23" s="76" t="s">
        <v>91</v>
      </c>
      <c r="B23" s="81" t="s">
        <v>92</v>
      </c>
      <c r="C23" s="107">
        <f>ROUND(SUM(1,0.05*(E23-1)),2)</f>
        <v>5.95</v>
      </c>
      <c r="D23" s="81" t="s">
        <v>93</v>
      </c>
      <c r="E23" s="108">
        <v>100</v>
      </c>
      <c r="F23" s="103"/>
      <c r="G23" s="90"/>
    </row>
    <row r="24" spans="1:7" s="61" customFormat="1" ht="15" customHeight="1" x14ac:dyDescent="0.25">
      <c r="A24" s="109" t="s">
        <v>94</v>
      </c>
      <c r="B24" s="81" t="s">
        <v>92</v>
      </c>
      <c r="C24" s="110">
        <v>1.5</v>
      </c>
      <c r="D24" s="81" t="s">
        <v>95</v>
      </c>
      <c r="E24" s="111"/>
      <c r="F24" s="112"/>
      <c r="G24" s="90"/>
    </row>
    <row r="25" spans="1:7" s="61" customFormat="1" ht="15" customHeight="1" x14ac:dyDescent="0.25">
      <c r="A25" s="76" t="s">
        <v>96</v>
      </c>
      <c r="B25" s="73" t="s">
        <v>83</v>
      </c>
      <c r="C25" s="73">
        <v>2.2200000000000002</v>
      </c>
      <c r="D25" s="78" t="s">
        <v>84</v>
      </c>
      <c r="E25" s="73"/>
      <c r="F25" s="75"/>
      <c r="G25" s="90"/>
    </row>
    <row r="26" spans="1:7" s="61" customFormat="1" ht="15" customHeight="1" x14ac:dyDescent="0.25">
      <c r="A26" s="113" t="s">
        <v>85</v>
      </c>
      <c r="B26" s="114"/>
      <c r="C26" s="102"/>
      <c r="D26" s="102"/>
      <c r="E26" s="102"/>
      <c r="F26" s="85">
        <f>ROUND((C20*C22)+(C21*C19*C23*C24),2)</f>
        <v>489.11</v>
      </c>
      <c r="G26" s="90"/>
    </row>
    <row r="27" spans="1:7" s="61" customFormat="1" ht="15" customHeight="1" thickBot="1" x14ac:dyDescent="0.35">
      <c r="A27" s="86" t="str">
        <f>CONCATENATE("C=","(",C20,"*",C22,"+",C21,"*",C19,"*",C23,"*",C24,")","*",C25,)</f>
        <v>C=(882*0,25+11*2,736*5,95*1,5)*2,22</v>
      </c>
      <c r="B27" s="87"/>
      <c r="C27" s="87"/>
      <c r="D27" s="87"/>
      <c r="E27" s="88"/>
      <c r="F27" s="89">
        <f>ROUND(PRODUCT(F26,C25,),2)</f>
        <v>1085.82</v>
      </c>
      <c r="G27" s="90"/>
    </row>
    <row r="28" spans="1:7" ht="35.25" customHeight="1" thickBot="1" x14ac:dyDescent="0.3">
      <c r="A28" s="91" t="s">
        <v>97</v>
      </c>
      <c r="B28" s="115"/>
      <c r="C28" s="62">
        <f>C12</f>
        <v>1.088E-3</v>
      </c>
      <c r="D28" s="94" t="s">
        <v>98</v>
      </c>
      <c r="E28" s="95" t="s">
        <v>74</v>
      </c>
      <c r="F28" s="116"/>
      <c r="G28" s="90"/>
    </row>
    <row r="29" spans="1:7" ht="15.75" customHeight="1" x14ac:dyDescent="0.25">
      <c r="A29" s="117"/>
      <c r="B29" s="118" t="s">
        <v>75</v>
      </c>
      <c r="C29" s="118">
        <v>56</v>
      </c>
      <c r="D29" s="69" t="s">
        <v>88</v>
      </c>
      <c r="E29" s="119"/>
      <c r="F29" s="120"/>
      <c r="G29" s="90"/>
    </row>
    <row r="30" spans="1:7" s="61" customFormat="1" ht="14.25" customHeight="1" x14ac:dyDescent="0.25">
      <c r="A30" s="121"/>
      <c r="B30" s="81" t="s">
        <v>77</v>
      </c>
      <c r="C30" s="118">
        <v>34</v>
      </c>
      <c r="D30" s="78" t="s">
        <v>99</v>
      </c>
      <c r="E30" s="119"/>
      <c r="F30" s="120"/>
    </row>
    <row r="31" spans="1:7" s="61" customFormat="1" ht="14.25" customHeight="1" x14ac:dyDescent="0.25">
      <c r="A31" s="122" t="s">
        <v>100</v>
      </c>
      <c r="B31" s="118" t="s">
        <v>80</v>
      </c>
      <c r="C31" s="123">
        <f>ROUND(SUM(1,-0.9*(1-E31)),2)</f>
        <v>0.1</v>
      </c>
      <c r="D31" s="118" t="s">
        <v>81</v>
      </c>
      <c r="E31" s="124">
        <f>C28</f>
        <v>1.088E-3</v>
      </c>
      <c r="F31" s="120"/>
    </row>
    <row r="32" spans="1:7" ht="15.75" customHeight="1" x14ac:dyDescent="0.25">
      <c r="A32" s="122" t="s">
        <v>101</v>
      </c>
      <c r="B32" s="125" t="s">
        <v>92</v>
      </c>
      <c r="C32" s="126">
        <f>ROUND(SUM(1,-0.7*(1-E32)),2)</f>
        <v>0.3</v>
      </c>
      <c r="D32" s="118" t="s">
        <v>102</v>
      </c>
      <c r="E32" s="124">
        <f>E31</f>
        <v>1.088E-3</v>
      </c>
      <c r="F32" s="120"/>
      <c r="G32" s="90"/>
    </row>
    <row r="33" spans="1:7" ht="15.75" customHeight="1" x14ac:dyDescent="0.25">
      <c r="A33" s="122" t="s">
        <v>103</v>
      </c>
      <c r="B33" s="118" t="s">
        <v>80</v>
      </c>
      <c r="C33" s="126">
        <f>ROUND(SUM(1,0.2*(E33-1)),2)</f>
        <v>20.8</v>
      </c>
      <c r="D33" s="118" t="s">
        <v>93</v>
      </c>
      <c r="E33" s="127">
        <f>E23</f>
        <v>100</v>
      </c>
      <c r="F33" s="120"/>
      <c r="G33" s="90"/>
    </row>
    <row r="34" spans="1:7" ht="15.75" customHeight="1" x14ac:dyDescent="0.25">
      <c r="A34" s="128" t="s">
        <v>104</v>
      </c>
      <c r="B34" s="98" t="s">
        <v>83</v>
      </c>
      <c r="C34" s="118">
        <v>1.99</v>
      </c>
      <c r="D34" s="129" t="s">
        <v>84</v>
      </c>
      <c r="E34" s="98"/>
      <c r="F34" s="120"/>
      <c r="G34" s="90"/>
    </row>
    <row r="35" spans="1:7" ht="15.75" customHeight="1" x14ac:dyDescent="0.25">
      <c r="A35" s="80" t="s">
        <v>85</v>
      </c>
      <c r="B35" s="130"/>
      <c r="C35" s="119"/>
      <c r="D35" s="119"/>
      <c r="E35" s="119"/>
      <c r="F35" s="85">
        <f>ROUND((C29*C31*C33)+(C30*C32*C28),2)</f>
        <v>116.49</v>
      </c>
      <c r="G35" s="90"/>
    </row>
    <row r="36" spans="1:7" ht="18.75" customHeight="1" thickBot="1" x14ac:dyDescent="0.35">
      <c r="A36" s="131" t="str">
        <f>CONCATENATE("C=","(",C29,"*",C31,"*",C33,"+",C30,"*",C32,")","*",C34,)</f>
        <v>C=(56*0,1*20,8+34*0,3)*1,99</v>
      </c>
      <c r="B36" s="132"/>
      <c r="C36" s="132"/>
      <c r="D36" s="132"/>
      <c r="E36" s="133"/>
      <c r="F36" s="134">
        <f>ROUND(PRODUCT(F35,C34),2)</f>
        <v>231.82</v>
      </c>
      <c r="G36" s="90"/>
    </row>
    <row r="37" spans="1:7" ht="19.5" customHeight="1" thickBot="1" x14ac:dyDescent="0.3">
      <c r="A37" s="306" t="str">
        <f>CONCATENATE("4.Подготовка технического плана")</f>
        <v>4.Подготовка технического плана</v>
      </c>
      <c r="B37" s="307"/>
      <c r="C37" s="135">
        <f>C12</f>
        <v>1.088E-3</v>
      </c>
      <c r="D37" s="94" t="s">
        <v>105</v>
      </c>
      <c r="E37" s="136"/>
      <c r="F37" s="137"/>
      <c r="G37" s="90"/>
    </row>
    <row r="38" spans="1:7" ht="15.75" x14ac:dyDescent="0.25">
      <c r="A38" s="138"/>
      <c r="B38" s="98" t="s">
        <v>75</v>
      </c>
      <c r="C38" s="98">
        <v>1363</v>
      </c>
      <c r="D38" s="69" t="s">
        <v>76</v>
      </c>
      <c r="E38" s="70"/>
      <c r="F38" s="100"/>
      <c r="G38" s="90"/>
    </row>
    <row r="39" spans="1:7" ht="18" customHeight="1" x14ac:dyDescent="0.25">
      <c r="A39" s="139"/>
      <c r="B39" s="81" t="s">
        <v>77</v>
      </c>
      <c r="C39" s="81">
        <v>3431</v>
      </c>
      <c r="D39" s="304" t="s">
        <v>78</v>
      </c>
      <c r="E39" s="305"/>
      <c r="F39" s="103"/>
      <c r="G39" s="90"/>
    </row>
    <row r="40" spans="1:7" ht="18" customHeight="1" x14ac:dyDescent="0.25">
      <c r="A40" s="104" t="s">
        <v>106</v>
      </c>
      <c r="B40" s="81" t="s">
        <v>80</v>
      </c>
      <c r="C40" s="140">
        <f>ROUND(SUM(1,-0.9*(1-E40)),2)</f>
        <v>0.1</v>
      </c>
      <c r="D40" s="81" t="s">
        <v>81</v>
      </c>
      <c r="E40" s="141">
        <f>C37</f>
        <v>1.088E-3</v>
      </c>
      <c r="F40" s="103"/>
      <c r="G40" s="90"/>
    </row>
    <row r="41" spans="1:7" ht="15.75" x14ac:dyDescent="0.25">
      <c r="A41" s="122" t="s">
        <v>107</v>
      </c>
      <c r="B41" s="118" t="s">
        <v>80</v>
      </c>
      <c r="C41" s="126">
        <f>ROUND(SUM(1,0.1*(E41-1)),2)</f>
        <v>10.9</v>
      </c>
      <c r="D41" s="118" t="s">
        <v>108</v>
      </c>
      <c r="E41" s="108">
        <f>E33</f>
        <v>100</v>
      </c>
      <c r="F41" s="112"/>
      <c r="G41" s="90"/>
    </row>
    <row r="42" spans="1:7" ht="15.75" x14ac:dyDescent="0.25">
      <c r="A42" s="76" t="s">
        <v>82</v>
      </c>
      <c r="B42" s="73" t="s">
        <v>83</v>
      </c>
      <c r="C42" s="73">
        <v>2.2200000000000002</v>
      </c>
      <c r="D42" s="78" t="s">
        <v>84</v>
      </c>
      <c r="E42" s="73"/>
      <c r="F42" s="75"/>
      <c r="G42" s="90"/>
    </row>
    <row r="43" spans="1:7" ht="15" x14ac:dyDescent="0.25">
      <c r="A43" s="80" t="s">
        <v>85</v>
      </c>
      <c r="B43" s="142"/>
      <c r="C43" s="142"/>
      <c r="D43" s="142"/>
      <c r="E43" s="143"/>
      <c r="F43" s="144">
        <f>ROUND((C38*C40*C41)+(C39*C37),2)</f>
        <v>1489.4</v>
      </c>
    </row>
    <row r="44" spans="1:7" ht="16.5" x14ac:dyDescent="0.3">
      <c r="A44" s="131" t="str">
        <f>CONCATENATE("C=","(",C38,"*",C40,"*",C41,"+",C39,")","*",C42,)</f>
        <v>C=(1363*0,1*10,9+3431)*2,22</v>
      </c>
      <c r="B44" s="142"/>
      <c r="C44" s="142"/>
      <c r="D44" s="142"/>
      <c r="E44" s="143"/>
      <c r="F44" s="178">
        <f>F43*C42</f>
        <v>3306.4680000000003</v>
      </c>
    </row>
    <row r="45" spans="1:7" ht="16.5" x14ac:dyDescent="0.2">
      <c r="A45" s="308" t="str">
        <f>CONCATENATE("С=",F36,"+",F27,"+",F18,"+",F44,)</f>
        <v>С=231,82+1085,82+297,35+3306,468</v>
      </c>
      <c r="B45" s="309"/>
      <c r="C45" s="309"/>
      <c r="D45" s="309"/>
      <c r="E45" s="310"/>
      <c r="F45" s="145">
        <f>F18+F27+F36+F44</f>
        <v>4921.4580000000005</v>
      </c>
    </row>
    <row r="46" spans="1:7" ht="53.25" customHeight="1" thickBot="1" x14ac:dyDescent="0.25">
      <c r="A46" s="311" t="s">
        <v>150</v>
      </c>
      <c r="B46" s="301"/>
      <c r="C46" s="301"/>
      <c r="D46" s="312">
        <v>15.505899277999999</v>
      </c>
      <c r="E46" s="313"/>
      <c r="F46" s="145">
        <f>ROUND(F45*D46,0)</f>
        <v>76312</v>
      </c>
    </row>
    <row r="47" spans="1:7" ht="15.75" customHeight="1" thickBot="1" x14ac:dyDescent="0.25">
      <c r="A47" s="300" t="s">
        <v>158</v>
      </c>
      <c r="B47" s="301"/>
      <c r="C47" s="301"/>
      <c r="D47" s="301"/>
      <c r="E47" s="146" t="s">
        <v>109</v>
      </c>
      <c r="F47" s="147">
        <f>E47*3</f>
        <v>6600</v>
      </c>
    </row>
    <row r="48" spans="1:7" ht="17.25" thickBot="1" x14ac:dyDescent="0.35">
      <c r="A48" s="148"/>
      <c r="B48" s="149"/>
      <c r="C48" s="149"/>
      <c r="D48" s="148" t="s">
        <v>111</v>
      </c>
      <c r="E48" s="150"/>
      <c r="F48" s="151">
        <f>F46+F47</f>
        <v>82912</v>
      </c>
    </row>
    <row r="49" spans="1:17" ht="12.75" customHeight="1" x14ac:dyDescent="0.25">
      <c r="A49" s="152"/>
      <c r="D49" s="90"/>
      <c r="E49" s="90"/>
      <c r="F49" s="90"/>
    </row>
    <row r="50" spans="1:17" s="248" customFormat="1" ht="15" x14ac:dyDescent="0.25">
      <c r="A50" s="247"/>
      <c r="C50" s="249"/>
      <c r="D50" s="250"/>
      <c r="E50" s="251"/>
      <c r="F50" s="252"/>
      <c r="G50" s="251"/>
      <c r="L50" s="252"/>
      <c r="M50" s="252"/>
      <c r="N50" s="246"/>
      <c r="O50" s="246"/>
      <c r="P50" s="246"/>
      <c r="Q50" s="246"/>
    </row>
    <row r="51" spans="1:17" s="248" customFormat="1" ht="15" customHeight="1" x14ac:dyDescent="0.25">
      <c r="A51" s="254"/>
      <c r="C51" s="254"/>
      <c r="D51" s="254"/>
      <c r="E51" s="251"/>
      <c r="F51" s="254"/>
      <c r="G51" s="251"/>
      <c r="L51" s="254"/>
      <c r="M51" s="254"/>
      <c r="N51" s="254"/>
      <c r="O51" s="254"/>
      <c r="P51" s="254"/>
      <c r="Q51" s="254"/>
    </row>
    <row r="52" spans="1:17" s="248" customFormat="1" ht="18.75" customHeight="1" x14ac:dyDescent="0.25">
      <c r="A52" s="247"/>
      <c r="C52" s="255"/>
      <c r="D52" s="250"/>
      <c r="E52" s="251"/>
      <c r="F52" s="256"/>
      <c r="G52" s="251"/>
      <c r="L52" s="256"/>
      <c r="M52" s="256"/>
      <c r="N52" s="246"/>
      <c r="O52" s="246"/>
      <c r="P52" s="246"/>
      <c r="Q52" s="246"/>
    </row>
    <row r="53" spans="1:17" s="248" customFormat="1" ht="15" customHeight="1" x14ac:dyDescent="0.25">
      <c r="A53" s="254"/>
      <c r="C53" s="254"/>
      <c r="D53" s="254"/>
      <c r="E53" s="251"/>
      <c r="F53" s="254"/>
      <c r="G53" s="251"/>
      <c r="L53" s="254"/>
      <c r="M53" s="254"/>
      <c r="N53" s="254"/>
      <c r="O53" s="254"/>
      <c r="P53" s="254"/>
      <c r="Q53" s="254"/>
    </row>
    <row r="54" spans="1:17" s="248" customFormat="1" ht="15.75" customHeight="1" x14ac:dyDescent="0.25">
      <c r="A54" s="247"/>
      <c r="C54" s="255"/>
      <c r="D54" s="250"/>
      <c r="E54" s="251"/>
      <c r="F54" s="256"/>
      <c r="G54" s="251"/>
      <c r="L54" s="256"/>
      <c r="M54" s="256"/>
      <c r="N54" s="246"/>
      <c r="O54" s="246"/>
      <c r="P54" s="246"/>
      <c r="Q54" s="246"/>
    </row>
    <row r="55" spans="1:17" s="248" customFormat="1" ht="15" x14ac:dyDescent="0.25">
      <c r="A55" s="250"/>
      <c r="C55" s="250"/>
      <c r="D55" s="250"/>
      <c r="E55" s="251"/>
      <c r="F55" s="250"/>
      <c r="G55" s="251"/>
      <c r="L55" s="251"/>
      <c r="M55" s="246"/>
      <c r="N55" s="246"/>
      <c r="O55" s="246"/>
      <c r="P55" s="246"/>
      <c r="Q55" s="246"/>
    </row>
    <row r="56" spans="1:17" s="248" customFormat="1" ht="15" customHeight="1" x14ac:dyDescent="0.25">
      <c r="A56" s="247"/>
      <c r="C56" s="257"/>
      <c r="D56" s="250"/>
      <c r="E56" s="251"/>
      <c r="F56" s="256"/>
      <c r="G56" s="251"/>
      <c r="L56" s="256"/>
      <c r="M56" s="256"/>
      <c r="N56" s="246"/>
      <c r="O56" s="246"/>
      <c r="P56" s="246"/>
      <c r="Q56" s="246"/>
    </row>
    <row r="57" spans="1:17" s="268" customFormat="1" ht="15" x14ac:dyDescent="0.25">
      <c r="A57" s="267"/>
      <c r="B57" s="267"/>
      <c r="C57" s="267"/>
      <c r="D57" s="267"/>
      <c r="E57" s="267"/>
      <c r="F57" s="267"/>
    </row>
    <row r="58" spans="1:17" ht="15.75" x14ac:dyDescent="0.25">
      <c r="A58" s="90"/>
      <c r="B58" s="90"/>
      <c r="C58" s="90"/>
      <c r="D58" s="90"/>
      <c r="E58" s="90"/>
    </row>
  </sheetData>
  <mergeCells count="14">
    <mergeCell ref="A11:C11"/>
    <mergeCell ref="C1:F1"/>
    <mergeCell ref="C2:F2"/>
    <mergeCell ref="A7:F7"/>
    <mergeCell ref="A8:F8"/>
    <mergeCell ref="A10:F10"/>
    <mergeCell ref="A47:D47"/>
    <mergeCell ref="A12:B12"/>
    <mergeCell ref="D14:E14"/>
    <mergeCell ref="A37:B37"/>
    <mergeCell ref="D39:E39"/>
    <mergeCell ref="A45:E45"/>
    <mergeCell ref="A46:C46"/>
    <mergeCell ref="D46:E46"/>
  </mergeCells>
  <pageMargins left="0.90551181102362199" right="0.70866141732283461" top="0.55118110236220474" bottom="0.74803149606299213" header="0.31496062992125984" footer="0.31496062992125984"/>
  <pageSetup paperSize="9" scale="63" fitToHeight="2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topLeftCell="A22" zoomScale="75" zoomScaleNormal="75" workbookViewId="0">
      <selection activeCell="A32" sqref="A32:XFD41"/>
    </sheetView>
  </sheetViews>
  <sheetFormatPr defaultRowHeight="15.75" outlineLevelRow="1" x14ac:dyDescent="0.25"/>
  <cols>
    <col min="1" max="1" width="4.5703125" style="154" customWidth="1"/>
    <col min="2" max="2" width="46.140625" style="154" customWidth="1"/>
    <col min="3" max="3" width="18.42578125" style="154" customWidth="1"/>
    <col min="4" max="4" width="10.140625" style="154" customWidth="1"/>
    <col min="5" max="5" width="16.5703125" style="154" customWidth="1"/>
    <col min="6" max="6" width="13.85546875" style="154" customWidth="1"/>
    <col min="7" max="7" width="14.28515625" style="154" customWidth="1"/>
    <col min="8" max="8" width="21" style="154" customWidth="1"/>
    <col min="9" max="9" width="6.140625" style="154" customWidth="1"/>
    <col min="10" max="10" width="7.140625" style="154" customWidth="1"/>
    <col min="11" max="11" width="18.7109375" style="154" customWidth="1"/>
    <col min="12" max="12" width="17" style="154" customWidth="1"/>
    <col min="13" max="16384" width="9.140625" style="154"/>
  </cols>
  <sheetData>
    <row r="1" spans="1:12" ht="88.5" customHeight="1" x14ac:dyDescent="0.3">
      <c r="A1" s="346" t="s">
        <v>268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</row>
    <row r="2" spans="1:12" ht="20.25" x14ac:dyDescent="0.3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2" ht="41.25" customHeight="1" x14ac:dyDescent="0.3">
      <c r="A3" s="348" t="s">
        <v>112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</row>
    <row r="4" spans="1:12" x14ac:dyDescent="0.25">
      <c r="C4" s="156"/>
    </row>
    <row r="5" spans="1:12" ht="18.75" x14ac:dyDescent="0.25">
      <c r="A5" s="154" t="s">
        <v>113</v>
      </c>
      <c r="C5" s="157">
        <f>1360*8/10000</f>
        <v>1.0880000000000001</v>
      </c>
    </row>
    <row r="6" spans="1:12" ht="18.75" x14ac:dyDescent="0.25">
      <c r="A6" s="154" t="s">
        <v>114</v>
      </c>
      <c r="C6" s="158">
        <v>33</v>
      </c>
    </row>
    <row r="7" spans="1:12" ht="18.75" x14ac:dyDescent="0.25">
      <c r="A7" s="349" t="s">
        <v>115</v>
      </c>
      <c r="B7" s="349"/>
      <c r="C7" s="159">
        <v>1</v>
      </c>
    </row>
    <row r="8" spans="1:12" ht="18.75" x14ac:dyDescent="0.25">
      <c r="A8" s="160" t="s">
        <v>116</v>
      </c>
      <c r="B8" s="160"/>
      <c r="C8" s="161">
        <v>1</v>
      </c>
    </row>
    <row r="9" spans="1:12" ht="18.75" outlineLevel="1" x14ac:dyDescent="0.25">
      <c r="A9" s="349" t="s">
        <v>117</v>
      </c>
      <c r="B9" s="349"/>
      <c r="C9" s="162">
        <v>1</v>
      </c>
    </row>
    <row r="10" spans="1:12" ht="18.75" outlineLevel="1" x14ac:dyDescent="0.25">
      <c r="A10" s="349" t="s">
        <v>118</v>
      </c>
      <c r="B10" s="349"/>
      <c r="C10" s="162">
        <v>1</v>
      </c>
    </row>
    <row r="11" spans="1:12" ht="18" customHeight="1" x14ac:dyDescent="0.25">
      <c r="K11" s="163"/>
      <c r="L11" s="163"/>
    </row>
    <row r="12" spans="1:12" ht="39" customHeight="1" x14ac:dyDescent="0.25">
      <c r="A12" s="344" t="s">
        <v>119</v>
      </c>
      <c r="B12" s="340" t="s">
        <v>120</v>
      </c>
      <c r="C12" s="340" t="s">
        <v>50</v>
      </c>
      <c r="D12" s="340" t="s">
        <v>121</v>
      </c>
      <c r="E12" s="340" t="s">
        <v>122</v>
      </c>
      <c r="F12" s="339" t="s">
        <v>123</v>
      </c>
      <c r="G12" s="340"/>
      <c r="H12" s="339" t="s">
        <v>124</v>
      </c>
      <c r="I12" s="340"/>
      <c r="J12" s="340"/>
      <c r="K12" s="339" t="s">
        <v>125</v>
      </c>
      <c r="L12" s="164"/>
    </row>
    <row r="13" spans="1:12" ht="24" customHeight="1" x14ac:dyDescent="0.25">
      <c r="A13" s="345"/>
      <c r="B13" s="340"/>
      <c r="C13" s="340"/>
      <c r="D13" s="340"/>
      <c r="E13" s="340"/>
      <c r="F13" s="165" t="s">
        <v>126</v>
      </c>
      <c r="G13" s="165" t="s">
        <v>127</v>
      </c>
      <c r="H13" s="340"/>
      <c r="I13" s="340"/>
      <c r="J13" s="340"/>
      <c r="K13" s="340"/>
      <c r="L13" s="164"/>
    </row>
    <row r="14" spans="1:12" ht="15.75" customHeight="1" x14ac:dyDescent="0.25">
      <c r="A14" s="325">
        <v>1</v>
      </c>
      <c r="B14" s="341" t="s">
        <v>128</v>
      </c>
      <c r="C14" s="325" t="s">
        <v>129</v>
      </c>
      <c r="D14" s="325" t="s">
        <v>130</v>
      </c>
      <c r="E14" s="325">
        <f>C5/1000</f>
        <v>1.088E-3</v>
      </c>
      <c r="F14" s="325">
        <v>668</v>
      </c>
      <c r="G14" s="325">
        <v>49</v>
      </c>
      <c r="H14" s="166" t="s">
        <v>131</v>
      </c>
      <c r="I14" s="166" t="s">
        <v>132</v>
      </c>
      <c r="J14" s="167">
        <f>ROUND((1-0.4*(2-E14)),3)</f>
        <v>0.2</v>
      </c>
      <c r="K14" s="325">
        <f>ROUND((F14*J14*J15+G14*J15*E14)*J16,2)*J17</f>
        <v>292.57</v>
      </c>
      <c r="L14" s="163"/>
    </row>
    <row r="15" spans="1:12" ht="18.75" x14ac:dyDescent="0.25">
      <c r="A15" s="326"/>
      <c r="B15" s="342"/>
      <c r="C15" s="326"/>
      <c r="D15" s="326"/>
      <c r="E15" s="326"/>
      <c r="F15" s="326"/>
      <c r="G15" s="326"/>
      <c r="H15" s="166" t="s">
        <v>133</v>
      </c>
      <c r="I15" s="166" t="s">
        <v>134</v>
      </c>
      <c r="J15" s="167">
        <f>1+0.1*C7</f>
        <v>1.1000000000000001</v>
      </c>
      <c r="K15" s="326"/>
      <c r="L15" s="163"/>
    </row>
    <row r="16" spans="1:12" ht="17.25" customHeight="1" x14ac:dyDescent="0.3">
      <c r="A16" s="326"/>
      <c r="B16" s="342"/>
      <c r="C16" s="326"/>
      <c r="D16" s="326"/>
      <c r="E16" s="326"/>
      <c r="F16" s="326"/>
      <c r="G16" s="326"/>
      <c r="H16" s="168" t="s">
        <v>135</v>
      </c>
      <c r="I16" s="168" t="s">
        <v>134</v>
      </c>
      <c r="J16" s="169">
        <v>1.99</v>
      </c>
      <c r="K16" s="326"/>
      <c r="L16" s="163"/>
    </row>
    <row r="17" spans="1:17" ht="18.75" x14ac:dyDescent="0.3">
      <c r="A17" s="327"/>
      <c r="B17" s="343"/>
      <c r="C17" s="327"/>
      <c r="D17" s="327"/>
      <c r="E17" s="327"/>
      <c r="F17" s="327"/>
      <c r="G17" s="327"/>
      <c r="H17" s="168" t="s">
        <v>136</v>
      </c>
      <c r="I17" s="168" t="s">
        <v>134</v>
      </c>
      <c r="J17" s="169">
        <f>C9</f>
        <v>1</v>
      </c>
      <c r="K17" s="327"/>
      <c r="L17" s="163"/>
    </row>
    <row r="18" spans="1:17" ht="18.75" x14ac:dyDescent="0.3">
      <c r="A18" s="170"/>
      <c r="B18" s="171"/>
      <c r="C18" s="170"/>
      <c r="D18" s="170"/>
      <c r="E18" s="170"/>
      <c r="F18" s="170"/>
      <c r="G18" s="170"/>
      <c r="H18" s="168" t="s">
        <v>154</v>
      </c>
      <c r="I18" s="168" t="s">
        <v>134</v>
      </c>
      <c r="J18" s="169">
        <v>2.2200000000000002</v>
      </c>
      <c r="K18" s="170">
        <f>K14*J18</f>
        <v>649.50540000000001</v>
      </c>
      <c r="L18" s="163"/>
    </row>
    <row r="19" spans="1:17" ht="18.75" x14ac:dyDescent="0.3">
      <c r="A19" s="170">
        <v>2</v>
      </c>
      <c r="B19" s="171" t="s">
        <v>137</v>
      </c>
      <c r="C19" s="170" t="s">
        <v>138</v>
      </c>
      <c r="D19" s="170" t="s">
        <v>139</v>
      </c>
      <c r="E19" s="170">
        <v>10</v>
      </c>
      <c r="F19" s="170"/>
      <c r="G19" s="170"/>
      <c r="H19" s="168"/>
      <c r="I19" s="168"/>
      <c r="J19" s="169"/>
      <c r="K19" s="170">
        <f>E19%*K14</f>
        <v>29.257000000000001</v>
      </c>
      <c r="L19" s="163"/>
    </row>
    <row r="20" spans="1:17" ht="15.75" customHeight="1" x14ac:dyDescent="0.25">
      <c r="A20" s="325">
        <v>3</v>
      </c>
      <c r="B20" s="336" t="s">
        <v>140</v>
      </c>
      <c r="C20" s="328" t="s">
        <v>141</v>
      </c>
      <c r="D20" s="328" t="s">
        <v>130</v>
      </c>
      <c r="E20" s="328">
        <f>C5/1000</f>
        <v>1.088E-3</v>
      </c>
      <c r="F20" s="328">
        <v>355</v>
      </c>
      <c r="G20" s="328">
        <v>22</v>
      </c>
      <c r="H20" s="172" t="s">
        <v>142</v>
      </c>
      <c r="I20" s="166" t="s">
        <v>132</v>
      </c>
      <c r="J20" s="167">
        <f>ROUND((1-0.45*(2-E20)),3)</f>
        <v>0.1</v>
      </c>
      <c r="K20" s="325">
        <f>ROUND(((F20*J20*J21+G20*E20*J22*J23)*J24*J25),2)*J26</f>
        <v>81.91</v>
      </c>
      <c r="L20" s="163"/>
    </row>
    <row r="21" spans="1:17" ht="18.75" x14ac:dyDescent="0.25">
      <c r="A21" s="326"/>
      <c r="B21" s="337"/>
      <c r="C21" s="328"/>
      <c r="D21" s="328"/>
      <c r="E21" s="328"/>
      <c r="F21" s="328"/>
      <c r="G21" s="328"/>
      <c r="H21" s="172" t="s">
        <v>143</v>
      </c>
      <c r="I21" s="166" t="s">
        <v>132</v>
      </c>
      <c r="J21" s="167">
        <f>1+0.05*C7</f>
        <v>1.05</v>
      </c>
      <c r="K21" s="326"/>
      <c r="L21" s="163"/>
    </row>
    <row r="22" spans="1:17" ht="18.75" x14ac:dyDescent="0.25">
      <c r="A22" s="326"/>
      <c r="B22" s="337"/>
      <c r="C22" s="328"/>
      <c r="D22" s="328"/>
      <c r="E22" s="328"/>
      <c r="F22" s="328"/>
      <c r="G22" s="328"/>
      <c r="H22" s="172" t="s">
        <v>144</v>
      </c>
      <c r="I22" s="166" t="s">
        <v>145</v>
      </c>
      <c r="J22" s="167">
        <f>1+0.1*(C6-5)</f>
        <v>3.8000000000000003</v>
      </c>
      <c r="K22" s="326"/>
      <c r="L22" s="163"/>
    </row>
    <row r="23" spans="1:17" ht="18.75" x14ac:dyDescent="0.25">
      <c r="A23" s="326"/>
      <c r="B23" s="337"/>
      <c r="C23" s="328"/>
      <c r="D23" s="328"/>
      <c r="E23" s="328"/>
      <c r="F23" s="328"/>
      <c r="G23" s="328"/>
      <c r="H23" s="172" t="s">
        <v>146</v>
      </c>
      <c r="I23" s="166" t="s">
        <v>145</v>
      </c>
      <c r="J23" s="167">
        <v>1.6</v>
      </c>
      <c r="K23" s="326"/>
      <c r="L23" s="163"/>
    </row>
    <row r="24" spans="1:17" ht="18.75" x14ac:dyDescent="0.25">
      <c r="A24" s="326"/>
      <c r="B24" s="337"/>
      <c r="C24" s="328"/>
      <c r="D24" s="328"/>
      <c r="E24" s="328"/>
      <c r="F24" s="328"/>
      <c r="G24" s="328"/>
      <c r="H24" s="172" t="s">
        <v>147</v>
      </c>
      <c r="I24" s="166" t="s">
        <v>134</v>
      </c>
      <c r="J24" s="167">
        <f>1+0.1*C8</f>
        <v>1.1000000000000001</v>
      </c>
      <c r="K24" s="326"/>
    </row>
    <row r="25" spans="1:17" ht="18.75" x14ac:dyDescent="0.3">
      <c r="A25" s="326"/>
      <c r="B25" s="337"/>
      <c r="C25" s="328"/>
      <c r="D25" s="328"/>
      <c r="E25" s="328"/>
      <c r="F25" s="328"/>
      <c r="G25" s="328"/>
      <c r="H25" s="173" t="s">
        <v>135</v>
      </c>
      <c r="I25" s="168" t="s">
        <v>134</v>
      </c>
      <c r="J25" s="169">
        <v>1.99</v>
      </c>
      <c r="K25" s="326"/>
    </row>
    <row r="26" spans="1:17" ht="18.75" x14ac:dyDescent="0.3">
      <c r="A26" s="327"/>
      <c r="B26" s="338"/>
      <c r="C26" s="328"/>
      <c r="D26" s="328"/>
      <c r="E26" s="328"/>
      <c r="F26" s="328"/>
      <c r="G26" s="328"/>
      <c r="H26" s="168" t="s">
        <v>136</v>
      </c>
      <c r="I26" s="168" t="s">
        <v>134</v>
      </c>
      <c r="J26" s="169">
        <f>C9</f>
        <v>1</v>
      </c>
      <c r="K26" s="327"/>
    </row>
    <row r="27" spans="1:17" ht="18.75" x14ac:dyDescent="0.3">
      <c r="A27" s="170"/>
      <c r="B27" s="171"/>
      <c r="C27" s="170"/>
      <c r="D27" s="170"/>
      <c r="E27" s="170"/>
      <c r="F27" s="170"/>
      <c r="G27" s="170"/>
      <c r="H27" s="168" t="s">
        <v>154</v>
      </c>
      <c r="I27" s="168" t="s">
        <v>134</v>
      </c>
      <c r="J27" s="169">
        <v>1.99</v>
      </c>
      <c r="K27" s="170">
        <f>K20*J27</f>
        <v>163.0009</v>
      </c>
      <c r="L27" s="163"/>
    </row>
    <row r="28" spans="1:17" ht="18.75" x14ac:dyDescent="0.25">
      <c r="A28" s="174">
        <v>4</v>
      </c>
      <c r="B28" s="329" t="s">
        <v>110</v>
      </c>
      <c r="C28" s="330"/>
      <c r="D28" s="330"/>
      <c r="E28" s="330"/>
      <c r="F28" s="330"/>
      <c r="G28" s="330"/>
      <c r="H28" s="330"/>
      <c r="I28" s="330"/>
      <c r="J28" s="331"/>
      <c r="K28" s="174">
        <f>SUM(K18:K19)+K27</f>
        <v>841.76329999999996</v>
      </c>
    </row>
    <row r="29" spans="1:17" ht="48" customHeight="1" x14ac:dyDescent="0.3">
      <c r="A29" s="165">
        <v>5</v>
      </c>
      <c r="B29" s="332" t="s">
        <v>152</v>
      </c>
      <c r="C29" s="333"/>
      <c r="D29" s="333"/>
      <c r="E29" s="333"/>
      <c r="F29" s="333"/>
      <c r="G29" s="333"/>
      <c r="H29" s="175" t="s">
        <v>134</v>
      </c>
      <c r="I29" s="334">
        <v>15.505899277999999</v>
      </c>
      <c r="J29" s="335"/>
      <c r="K29" s="179">
        <f>ROUND((K28*I29),0)</f>
        <v>13052</v>
      </c>
    </row>
    <row r="30" spans="1:17" ht="18.75" x14ac:dyDescent="0.3">
      <c r="A30" s="176">
        <v>7</v>
      </c>
      <c r="B30" s="322" t="s">
        <v>111</v>
      </c>
      <c r="C30" s="323"/>
      <c r="D30" s="323"/>
      <c r="E30" s="323"/>
      <c r="F30" s="323"/>
      <c r="G30" s="323"/>
      <c r="H30" s="323"/>
      <c r="I30" s="323"/>
      <c r="J30" s="324"/>
      <c r="K30" s="177">
        <f>K29</f>
        <v>13052</v>
      </c>
    </row>
    <row r="32" spans="1:17" s="38" customFormat="1" x14ac:dyDescent="0.25">
      <c r="A32" s="39"/>
      <c r="C32" s="40"/>
      <c r="D32" s="41"/>
      <c r="E32" s="37"/>
      <c r="G32" s="37"/>
      <c r="H32" s="45"/>
      <c r="L32" s="45"/>
      <c r="M32" s="45"/>
      <c r="N32" s="30"/>
      <c r="O32" s="30"/>
      <c r="P32" s="30"/>
      <c r="Q32" s="30"/>
    </row>
    <row r="33" spans="1:17" s="38" customFormat="1" ht="15" customHeight="1" x14ac:dyDescent="0.25">
      <c r="A33" s="42"/>
      <c r="C33" s="42"/>
      <c r="D33" s="42"/>
      <c r="E33" s="37"/>
      <c r="G33" s="37"/>
      <c r="H33" s="42"/>
      <c r="L33" s="42"/>
      <c r="M33" s="42"/>
      <c r="N33" s="42"/>
      <c r="O33" s="42"/>
      <c r="P33" s="42"/>
      <c r="Q33" s="42"/>
    </row>
    <row r="34" spans="1:17" s="38" customFormat="1" ht="18.75" customHeight="1" x14ac:dyDescent="0.25">
      <c r="A34" s="39"/>
      <c r="C34" s="43"/>
      <c r="D34" s="41"/>
      <c r="E34" s="37"/>
      <c r="G34" s="37"/>
      <c r="H34" s="46"/>
      <c r="L34" s="46"/>
      <c r="M34" s="46"/>
      <c r="N34" s="30"/>
      <c r="O34" s="30"/>
      <c r="P34" s="30"/>
      <c r="Q34" s="30"/>
    </row>
    <row r="35" spans="1:17" s="38" customFormat="1" ht="15" customHeight="1" x14ac:dyDescent="0.25">
      <c r="A35" s="42"/>
      <c r="C35" s="42"/>
      <c r="D35" s="42"/>
      <c r="E35" s="37"/>
      <c r="G35" s="37"/>
      <c r="H35" s="42"/>
      <c r="L35" s="42"/>
      <c r="M35" s="42"/>
      <c r="N35" s="42"/>
      <c r="O35" s="42"/>
      <c r="P35" s="42"/>
      <c r="Q35" s="42"/>
    </row>
    <row r="36" spans="1:17" s="38" customFormat="1" ht="15.75" customHeight="1" x14ac:dyDescent="0.25">
      <c r="A36" s="39"/>
      <c r="C36" s="43"/>
      <c r="D36" s="41"/>
      <c r="E36" s="37"/>
      <c r="G36" s="37"/>
      <c r="H36" s="46"/>
      <c r="L36" s="46"/>
      <c r="M36" s="46"/>
      <c r="N36" s="30"/>
      <c r="O36" s="30"/>
      <c r="P36" s="30"/>
      <c r="Q36" s="30"/>
    </row>
    <row r="37" spans="1:17" s="38" customFormat="1" x14ac:dyDescent="0.25">
      <c r="A37" s="41"/>
      <c r="C37" s="41"/>
      <c r="D37" s="41"/>
      <c r="E37" s="37"/>
      <c r="G37" s="37"/>
      <c r="H37" s="41"/>
      <c r="L37" s="37"/>
      <c r="M37" s="30"/>
      <c r="N37" s="30"/>
      <c r="O37" s="30"/>
      <c r="P37" s="30"/>
      <c r="Q37" s="30"/>
    </row>
    <row r="38" spans="1:17" s="38" customFormat="1" ht="15" customHeight="1" x14ac:dyDescent="0.25">
      <c r="A38" s="39"/>
      <c r="C38" s="44"/>
      <c r="D38" s="41"/>
      <c r="E38" s="37"/>
      <c r="G38" s="37"/>
      <c r="H38" s="46"/>
      <c r="L38" s="46"/>
      <c r="M38" s="46"/>
      <c r="N38" s="30"/>
      <c r="O38" s="30"/>
      <c r="P38" s="30"/>
      <c r="Q38" s="30"/>
    </row>
    <row r="39" spans="1:17" s="53" customFormat="1" x14ac:dyDescent="0.25">
      <c r="A39" s="90"/>
      <c r="B39" s="90"/>
      <c r="C39" s="90"/>
      <c r="D39" s="90"/>
      <c r="E39" s="90"/>
      <c r="F39" s="90"/>
      <c r="G39" s="153"/>
    </row>
  </sheetData>
  <mergeCells count="33">
    <mergeCell ref="A1:K1"/>
    <mergeCell ref="A3:K3"/>
    <mergeCell ref="A7:B7"/>
    <mergeCell ref="A9:B9"/>
    <mergeCell ref="A10:B10"/>
    <mergeCell ref="H12:J13"/>
    <mergeCell ref="K12:K13"/>
    <mergeCell ref="A14:A17"/>
    <mergeCell ref="B14:B17"/>
    <mergeCell ref="C14:C17"/>
    <mergeCell ref="D14:D17"/>
    <mergeCell ref="E14:E17"/>
    <mergeCell ref="F14:F17"/>
    <mergeCell ref="G14:G17"/>
    <mergeCell ref="K14:K17"/>
    <mergeCell ref="A12:A13"/>
    <mergeCell ref="B12:B13"/>
    <mergeCell ref="C12:C13"/>
    <mergeCell ref="D12:D13"/>
    <mergeCell ref="E12:E13"/>
    <mergeCell ref="F12:G12"/>
    <mergeCell ref="A20:A26"/>
    <mergeCell ref="B20:B26"/>
    <mergeCell ref="C20:C26"/>
    <mergeCell ref="D20:D26"/>
    <mergeCell ref="E20:E26"/>
    <mergeCell ref="K20:K26"/>
    <mergeCell ref="B28:J28"/>
    <mergeCell ref="B29:G29"/>
    <mergeCell ref="I29:J29"/>
    <mergeCell ref="B30:J30"/>
    <mergeCell ref="F20:F26"/>
    <mergeCell ref="G20:G26"/>
  </mergeCells>
  <pageMargins left="0.7" right="0.7" top="0.75" bottom="0.75" header="0.3" footer="0.3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7"/>
  <sheetViews>
    <sheetView view="pageBreakPreview" topLeftCell="A97" zoomScaleNormal="100" zoomScaleSheetLayoutView="100" workbookViewId="0">
      <selection activeCell="A100" sqref="A100:XFD107"/>
    </sheetView>
  </sheetViews>
  <sheetFormatPr defaultRowHeight="12.75" x14ac:dyDescent="0.2"/>
  <cols>
    <col min="1" max="1" width="4.5703125" style="53" customWidth="1"/>
    <col min="2" max="2" width="11.7109375" style="53" customWidth="1"/>
    <col min="3" max="3" width="9.5703125" style="53" customWidth="1"/>
    <col min="4" max="4" width="15.42578125" style="53" customWidth="1"/>
    <col min="5" max="5" width="17" style="53" customWidth="1"/>
    <col min="6" max="8" width="7.140625" style="53" customWidth="1"/>
    <col min="9" max="11" width="11.28515625" style="53" customWidth="1"/>
    <col min="12" max="13" width="6.28515625" style="53" customWidth="1"/>
    <col min="14" max="256" width="9.140625" style="53"/>
    <col min="257" max="257" width="4.5703125" style="53" customWidth="1"/>
    <col min="258" max="258" width="11.7109375" style="53" customWidth="1"/>
    <col min="259" max="259" width="9.5703125" style="53" customWidth="1"/>
    <col min="260" max="260" width="15.42578125" style="53" customWidth="1"/>
    <col min="261" max="261" width="17" style="53" customWidth="1"/>
    <col min="262" max="264" width="7.140625" style="53" customWidth="1"/>
    <col min="265" max="267" width="11.28515625" style="53" customWidth="1"/>
    <col min="268" max="269" width="6.28515625" style="53" customWidth="1"/>
    <col min="270" max="512" width="9.140625" style="53"/>
    <col min="513" max="513" width="4.5703125" style="53" customWidth="1"/>
    <col min="514" max="514" width="11.7109375" style="53" customWidth="1"/>
    <col min="515" max="515" width="9.5703125" style="53" customWidth="1"/>
    <col min="516" max="516" width="15.42578125" style="53" customWidth="1"/>
    <col min="517" max="517" width="17" style="53" customWidth="1"/>
    <col min="518" max="520" width="7.140625" style="53" customWidth="1"/>
    <col min="521" max="523" width="11.28515625" style="53" customWidth="1"/>
    <col min="524" max="525" width="6.28515625" style="53" customWidth="1"/>
    <col min="526" max="768" width="9.140625" style="53"/>
    <col min="769" max="769" width="4.5703125" style="53" customWidth="1"/>
    <col min="770" max="770" width="11.7109375" style="53" customWidth="1"/>
    <col min="771" max="771" width="9.5703125" style="53" customWidth="1"/>
    <col min="772" max="772" width="15.42578125" style="53" customWidth="1"/>
    <col min="773" max="773" width="17" style="53" customWidth="1"/>
    <col min="774" max="776" width="7.140625" style="53" customWidth="1"/>
    <col min="777" max="779" width="11.28515625" style="53" customWidth="1"/>
    <col min="780" max="781" width="6.28515625" style="53" customWidth="1"/>
    <col min="782" max="1024" width="9.140625" style="53"/>
    <col min="1025" max="1025" width="4.5703125" style="53" customWidth="1"/>
    <col min="1026" max="1026" width="11.7109375" style="53" customWidth="1"/>
    <col min="1027" max="1027" width="9.5703125" style="53" customWidth="1"/>
    <col min="1028" max="1028" width="15.42578125" style="53" customWidth="1"/>
    <col min="1029" max="1029" width="17" style="53" customWidth="1"/>
    <col min="1030" max="1032" width="7.140625" style="53" customWidth="1"/>
    <col min="1033" max="1035" width="11.28515625" style="53" customWidth="1"/>
    <col min="1036" max="1037" width="6.28515625" style="53" customWidth="1"/>
    <col min="1038" max="1280" width="9.140625" style="53"/>
    <col min="1281" max="1281" width="4.5703125" style="53" customWidth="1"/>
    <col min="1282" max="1282" width="11.7109375" style="53" customWidth="1"/>
    <col min="1283" max="1283" width="9.5703125" style="53" customWidth="1"/>
    <col min="1284" max="1284" width="15.42578125" style="53" customWidth="1"/>
    <col min="1285" max="1285" width="17" style="53" customWidth="1"/>
    <col min="1286" max="1288" width="7.140625" style="53" customWidth="1"/>
    <col min="1289" max="1291" width="11.28515625" style="53" customWidth="1"/>
    <col min="1292" max="1293" width="6.28515625" style="53" customWidth="1"/>
    <col min="1294" max="1536" width="9.140625" style="53"/>
    <col min="1537" max="1537" width="4.5703125" style="53" customWidth="1"/>
    <col min="1538" max="1538" width="11.7109375" style="53" customWidth="1"/>
    <col min="1539" max="1539" width="9.5703125" style="53" customWidth="1"/>
    <col min="1540" max="1540" width="15.42578125" style="53" customWidth="1"/>
    <col min="1541" max="1541" width="17" style="53" customWidth="1"/>
    <col min="1542" max="1544" width="7.140625" style="53" customWidth="1"/>
    <col min="1545" max="1547" width="11.28515625" style="53" customWidth="1"/>
    <col min="1548" max="1549" width="6.28515625" style="53" customWidth="1"/>
    <col min="1550" max="1792" width="9.140625" style="53"/>
    <col min="1793" max="1793" width="4.5703125" style="53" customWidth="1"/>
    <col min="1794" max="1794" width="11.7109375" style="53" customWidth="1"/>
    <col min="1795" max="1795" width="9.5703125" style="53" customWidth="1"/>
    <col min="1796" max="1796" width="15.42578125" style="53" customWidth="1"/>
    <col min="1797" max="1797" width="17" style="53" customWidth="1"/>
    <col min="1798" max="1800" width="7.140625" style="53" customWidth="1"/>
    <col min="1801" max="1803" width="11.28515625" style="53" customWidth="1"/>
    <col min="1804" max="1805" width="6.28515625" style="53" customWidth="1"/>
    <col min="1806" max="2048" width="9.140625" style="53"/>
    <col min="2049" max="2049" width="4.5703125" style="53" customWidth="1"/>
    <col min="2050" max="2050" width="11.7109375" style="53" customWidth="1"/>
    <col min="2051" max="2051" width="9.5703125" style="53" customWidth="1"/>
    <col min="2052" max="2052" width="15.42578125" style="53" customWidth="1"/>
    <col min="2053" max="2053" width="17" style="53" customWidth="1"/>
    <col min="2054" max="2056" width="7.140625" style="53" customWidth="1"/>
    <col min="2057" max="2059" width="11.28515625" style="53" customWidth="1"/>
    <col min="2060" max="2061" width="6.28515625" style="53" customWidth="1"/>
    <col min="2062" max="2304" width="9.140625" style="53"/>
    <col min="2305" max="2305" width="4.5703125" style="53" customWidth="1"/>
    <col min="2306" max="2306" width="11.7109375" style="53" customWidth="1"/>
    <col min="2307" max="2307" width="9.5703125" style="53" customWidth="1"/>
    <col min="2308" max="2308" width="15.42578125" style="53" customWidth="1"/>
    <col min="2309" max="2309" width="17" style="53" customWidth="1"/>
    <col min="2310" max="2312" width="7.140625" style="53" customWidth="1"/>
    <col min="2313" max="2315" width="11.28515625" style="53" customWidth="1"/>
    <col min="2316" max="2317" width="6.28515625" style="53" customWidth="1"/>
    <col min="2318" max="2560" width="9.140625" style="53"/>
    <col min="2561" max="2561" width="4.5703125" style="53" customWidth="1"/>
    <col min="2562" max="2562" width="11.7109375" style="53" customWidth="1"/>
    <col min="2563" max="2563" width="9.5703125" style="53" customWidth="1"/>
    <col min="2564" max="2564" width="15.42578125" style="53" customWidth="1"/>
    <col min="2565" max="2565" width="17" style="53" customWidth="1"/>
    <col min="2566" max="2568" width="7.140625" style="53" customWidth="1"/>
    <col min="2569" max="2571" width="11.28515625" style="53" customWidth="1"/>
    <col min="2572" max="2573" width="6.28515625" style="53" customWidth="1"/>
    <col min="2574" max="2816" width="9.140625" style="53"/>
    <col min="2817" max="2817" width="4.5703125" style="53" customWidth="1"/>
    <col min="2818" max="2818" width="11.7109375" style="53" customWidth="1"/>
    <col min="2819" max="2819" width="9.5703125" style="53" customWidth="1"/>
    <col min="2820" max="2820" width="15.42578125" style="53" customWidth="1"/>
    <col min="2821" max="2821" width="17" style="53" customWidth="1"/>
    <col min="2822" max="2824" width="7.140625" style="53" customWidth="1"/>
    <col min="2825" max="2827" width="11.28515625" style="53" customWidth="1"/>
    <col min="2828" max="2829" width="6.28515625" style="53" customWidth="1"/>
    <col min="2830" max="3072" width="9.140625" style="53"/>
    <col min="3073" max="3073" width="4.5703125" style="53" customWidth="1"/>
    <col min="3074" max="3074" width="11.7109375" style="53" customWidth="1"/>
    <col min="3075" max="3075" width="9.5703125" style="53" customWidth="1"/>
    <col min="3076" max="3076" width="15.42578125" style="53" customWidth="1"/>
    <col min="3077" max="3077" width="17" style="53" customWidth="1"/>
    <col min="3078" max="3080" width="7.140625" style="53" customWidth="1"/>
    <col min="3081" max="3083" width="11.28515625" style="53" customWidth="1"/>
    <col min="3084" max="3085" width="6.28515625" style="53" customWidth="1"/>
    <col min="3086" max="3328" width="9.140625" style="53"/>
    <col min="3329" max="3329" width="4.5703125" style="53" customWidth="1"/>
    <col min="3330" max="3330" width="11.7109375" style="53" customWidth="1"/>
    <col min="3331" max="3331" width="9.5703125" style="53" customWidth="1"/>
    <col min="3332" max="3332" width="15.42578125" style="53" customWidth="1"/>
    <col min="3333" max="3333" width="17" style="53" customWidth="1"/>
    <col min="3334" max="3336" width="7.140625" style="53" customWidth="1"/>
    <col min="3337" max="3339" width="11.28515625" style="53" customWidth="1"/>
    <col min="3340" max="3341" width="6.28515625" style="53" customWidth="1"/>
    <col min="3342" max="3584" width="9.140625" style="53"/>
    <col min="3585" max="3585" width="4.5703125" style="53" customWidth="1"/>
    <col min="3586" max="3586" width="11.7109375" style="53" customWidth="1"/>
    <col min="3587" max="3587" width="9.5703125" style="53" customWidth="1"/>
    <col min="3588" max="3588" width="15.42578125" style="53" customWidth="1"/>
    <col min="3589" max="3589" width="17" style="53" customWidth="1"/>
    <col min="3590" max="3592" width="7.140625" style="53" customWidth="1"/>
    <col min="3593" max="3595" width="11.28515625" style="53" customWidth="1"/>
    <col min="3596" max="3597" width="6.28515625" style="53" customWidth="1"/>
    <col min="3598" max="3840" width="9.140625" style="53"/>
    <col min="3841" max="3841" width="4.5703125" style="53" customWidth="1"/>
    <col min="3842" max="3842" width="11.7109375" style="53" customWidth="1"/>
    <col min="3843" max="3843" width="9.5703125" style="53" customWidth="1"/>
    <col min="3844" max="3844" width="15.42578125" style="53" customWidth="1"/>
    <col min="3845" max="3845" width="17" style="53" customWidth="1"/>
    <col min="3846" max="3848" width="7.140625" style="53" customWidth="1"/>
    <col min="3849" max="3851" width="11.28515625" style="53" customWidth="1"/>
    <col min="3852" max="3853" width="6.28515625" style="53" customWidth="1"/>
    <col min="3854" max="4096" width="9.140625" style="53"/>
    <col min="4097" max="4097" width="4.5703125" style="53" customWidth="1"/>
    <col min="4098" max="4098" width="11.7109375" style="53" customWidth="1"/>
    <col min="4099" max="4099" width="9.5703125" style="53" customWidth="1"/>
    <col min="4100" max="4100" width="15.42578125" style="53" customWidth="1"/>
    <col min="4101" max="4101" width="17" style="53" customWidth="1"/>
    <col min="4102" max="4104" width="7.140625" style="53" customWidth="1"/>
    <col min="4105" max="4107" width="11.28515625" style="53" customWidth="1"/>
    <col min="4108" max="4109" width="6.28515625" style="53" customWidth="1"/>
    <col min="4110" max="4352" width="9.140625" style="53"/>
    <col min="4353" max="4353" width="4.5703125" style="53" customWidth="1"/>
    <col min="4354" max="4354" width="11.7109375" style="53" customWidth="1"/>
    <col min="4355" max="4355" width="9.5703125" style="53" customWidth="1"/>
    <col min="4356" max="4356" width="15.42578125" style="53" customWidth="1"/>
    <col min="4357" max="4357" width="17" style="53" customWidth="1"/>
    <col min="4358" max="4360" width="7.140625" style="53" customWidth="1"/>
    <col min="4361" max="4363" width="11.28515625" style="53" customWidth="1"/>
    <col min="4364" max="4365" width="6.28515625" style="53" customWidth="1"/>
    <col min="4366" max="4608" width="9.140625" style="53"/>
    <col min="4609" max="4609" width="4.5703125" style="53" customWidth="1"/>
    <col min="4610" max="4610" width="11.7109375" style="53" customWidth="1"/>
    <col min="4611" max="4611" width="9.5703125" style="53" customWidth="1"/>
    <col min="4612" max="4612" width="15.42578125" style="53" customWidth="1"/>
    <col min="4613" max="4613" width="17" style="53" customWidth="1"/>
    <col min="4614" max="4616" width="7.140625" style="53" customWidth="1"/>
    <col min="4617" max="4619" width="11.28515625" style="53" customWidth="1"/>
    <col min="4620" max="4621" width="6.28515625" style="53" customWidth="1"/>
    <col min="4622" max="4864" width="9.140625" style="53"/>
    <col min="4865" max="4865" width="4.5703125" style="53" customWidth="1"/>
    <col min="4866" max="4866" width="11.7109375" style="53" customWidth="1"/>
    <col min="4867" max="4867" width="9.5703125" style="53" customWidth="1"/>
    <col min="4868" max="4868" width="15.42578125" style="53" customWidth="1"/>
    <col min="4869" max="4869" width="17" style="53" customWidth="1"/>
    <col min="4870" max="4872" width="7.140625" style="53" customWidth="1"/>
    <col min="4873" max="4875" width="11.28515625" style="53" customWidth="1"/>
    <col min="4876" max="4877" width="6.28515625" style="53" customWidth="1"/>
    <col min="4878" max="5120" width="9.140625" style="53"/>
    <col min="5121" max="5121" width="4.5703125" style="53" customWidth="1"/>
    <col min="5122" max="5122" width="11.7109375" style="53" customWidth="1"/>
    <col min="5123" max="5123" width="9.5703125" style="53" customWidth="1"/>
    <col min="5124" max="5124" width="15.42578125" style="53" customWidth="1"/>
    <col min="5125" max="5125" width="17" style="53" customWidth="1"/>
    <col min="5126" max="5128" width="7.140625" style="53" customWidth="1"/>
    <col min="5129" max="5131" width="11.28515625" style="53" customWidth="1"/>
    <col min="5132" max="5133" width="6.28515625" style="53" customWidth="1"/>
    <col min="5134" max="5376" width="9.140625" style="53"/>
    <col min="5377" max="5377" width="4.5703125" style="53" customWidth="1"/>
    <col min="5378" max="5378" width="11.7109375" style="53" customWidth="1"/>
    <col min="5379" max="5379" width="9.5703125" style="53" customWidth="1"/>
    <col min="5380" max="5380" width="15.42578125" style="53" customWidth="1"/>
    <col min="5381" max="5381" width="17" style="53" customWidth="1"/>
    <col min="5382" max="5384" width="7.140625" style="53" customWidth="1"/>
    <col min="5385" max="5387" width="11.28515625" style="53" customWidth="1"/>
    <col min="5388" max="5389" width="6.28515625" style="53" customWidth="1"/>
    <col min="5390" max="5632" width="9.140625" style="53"/>
    <col min="5633" max="5633" width="4.5703125" style="53" customWidth="1"/>
    <col min="5634" max="5634" width="11.7109375" style="53" customWidth="1"/>
    <col min="5635" max="5635" width="9.5703125" style="53" customWidth="1"/>
    <col min="5636" max="5636" width="15.42578125" style="53" customWidth="1"/>
    <col min="5637" max="5637" width="17" style="53" customWidth="1"/>
    <col min="5638" max="5640" width="7.140625" style="53" customWidth="1"/>
    <col min="5641" max="5643" width="11.28515625" style="53" customWidth="1"/>
    <col min="5644" max="5645" width="6.28515625" style="53" customWidth="1"/>
    <col min="5646" max="5888" width="9.140625" style="53"/>
    <col min="5889" max="5889" width="4.5703125" style="53" customWidth="1"/>
    <col min="5890" max="5890" width="11.7109375" style="53" customWidth="1"/>
    <col min="5891" max="5891" width="9.5703125" style="53" customWidth="1"/>
    <col min="5892" max="5892" width="15.42578125" style="53" customWidth="1"/>
    <col min="5893" max="5893" width="17" style="53" customWidth="1"/>
    <col min="5894" max="5896" width="7.140625" style="53" customWidth="1"/>
    <col min="5897" max="5899" width="11.28515625" style="53" customWidth="1"/>
    <col min="5900" max="5901" width="6.28515625" style="53" customWidth="1"/>
    <col min="5902" max="6144" width="9.140625" style="53"/>
    <col min="6145" max="6145" width="4.5703125" style="53" customWidth="1"/>
    <col min="6146" max="6146" width="11.7109375" style="53" customWidth="1"/>
    <col min="6147" max="6147" width="9.5703125" style="53" customWidth="1"/>
    <col min="6148" max="6148" width="15.42578125" style="53" customWidth="1"/>
    <col min="6149" max="6149" width="17" style="53" customWidth="1"/>
    <col min="6150" max="6152" width="7.140625" style="53" customWidth="1"/>
    <col min="6153" max="6155" width="11.28515625" style="53" customWidth="1"/>
    <col min="6156" max="6157" width="6.28515625" style="53" customWidth="1"/>
    <col min="6158" max="6400" width="9.140625" style="53"/>
    <col min="6401" max="6401" width="4.5703125" style="53" customWidth="1"/>
    <col min="6402" max="6402" width="11.7109375" style="53" customWidth="1"/>
    <col min="6403" max="6403" width="9.5703125" style="53" customWidth="1"/>
    <col min="6404" max="6404" width="15.42578125" style="53" customWidth="1"/>
    <col min="6405" max="6405" width="17" style="53" customWidth="1"/>
    <col min="6406" max="6408" width="7.140625" style="53" customWidth="1"/>
    <col min="6409" max="6411" width="11.28515625" style="53" customWidth="1"/>
    <col min="6412" max="6413" width="6.28515625" style="53" customWidth="1"/>
    <col min="6414" max="6656" width="9.140625" style="53"/>
    <col min="6657" max="6657" width="4.5703125" style="53" customWidth="1"/>
    <col min="6658" max="6658" width="11.7109375" style="53" customWidth="1"/>
    <col min="6659" max="6659" width="9.5703125" style="53" customWidth="1"/>
    <col min="6660" max="6660" width="15.42578125" style="53" customWidth="1"/>
    <col min="6661" max="6661" width="17" style="53" customWidth="1"/>
    <col min="6662" max="6664" width="7.140625" style="53" customWidth="1"/>
    <col min="6665" max="6667" width="11.28515625" style="53" customWidth="1"/>
    <col min="6668" max="6669" width="6.28515625" style="53" customWidth="1"/>
    <col min="6670" max="6912" width="9.140625" style="53"/>
    <col min="6913" max="6913" width="4.5703125" style="53" customWidth="1"/>
    <col min="6914" max="6914" width="11.7109375" style="53" customWidth="1"/>
    <col min="6915" max="6915" width="9.5703125" style="53" customWidth="1"/>
    <col min="6916" max="6916" width="15.42578125" style="53" customWidth="1"/>
    <col min="6917" max="6917" width="17" style="53" customWidth="1"/>
    <col min="6918" max="6920" width="7.140625" style="53" customWidth="1"/>
    <col min="6921" max="6923" width="11.28515625" style="53" customWidth="1"/>
    <col min="6924" max="6925" width="6.28515625" style="53" customWidth="1"/>
    <col min="6926" max="7168" width="9.140625" style="53"/>
    <col min="7169" max="7169" width="4.5703125" style="53" customWidth="1"/>
    <col min="7170" max="7170" width="11.7109375" style="53" customWidth="1"/>
    <col min="7171" max="7171" width="9.5703125" style="53" customWidth="1"/>
    <col min="7172" max="7172" width="15.42578125" style="53" customWidth="1"/>
    <col min="7173" max="7173" width="17" style="53" customWidth="1"/>
    <col min="7174" max="7176" width="7.140625" style="53" customWidth="1"/>
    <col min="7177" max="7179" width="11.28515625" style="53" customWidth="1"/>
    <col min="7180" max="7181" width="6.28515625" style="53" customWidth="1"/>
    <col min="7182" max="7424" width="9.140625" style="53"/>
    <col min="7425" max="7425" width="4.5703125" style="53" customWidth="1"/>
    <col min="7426" max="7426" width="11.7109375" style="53" customWidth="1"/>
    <col min="7427" max="7427" width="9.5703125" style="53" customWidth="1"/>
    <col min="7428" max="7428" width="15.42578125" style="53" customWidth="1"/>
    <col min="7429" max="7429" width="17" style="53" customWidth="1"/>
    <col min="7430" max="7432" width="7.140625" style="53" customWidth="1"/>
    <col min="7433" max="7435" width="11.28515625" style="53" customWidth="1"/>
    <col min="7436" max="7437" width="6.28515625" style="53" customWidth="1"/>
    <col min="7438" max="7680" width="9.140625" style="53"/>
    <col min="7681" max="7681" width="4.5703125" style="53" customWidth="1"/>
    <col min="7682" max="7682" width="11.7109375" style="53" customWidth="1"/>
    <col min="7683" max="7683" width="9.5703125" style="53" customWidth="1"/>
    <col min="7684" max="7684" width="15.42578125" style="53" customWidth="1"/>
    <col min="7685" max="7685" width="17" style="53" customWidth="1"/>
    <col min="7686" max="7688" width="7.140625" style="53" customWidth="1"/>
    <col min="7689" max="7691" width="11.28515625" style="53" customWidth="1"/>
    <col min="7692" max="7693" width="6.28515625" style="53" customWidth="1"/>
    <col min="7694" max="7936" width="9.140625" style="53"/>
    <col min="7937" max="7937" width="4.5703125" style="53" customWidth="1"/>
    <col min="7938" max="7938" width="11.7109375" style="53" customWidth="1"/>
    <col min="7939" max="7939" width="9.5703125" style="53" customWidth="1"/>
    <col min="7940" max="7940" width="15.42578125" style="53" customWidth="1"/>
    <col min="7941" max="7941" width="17" style="53" customWidth="1"/>
    <col min="7942" max="7944" width="7.140625" style="53" customWidth="1"/>
    <col min="7945" max="7947" width="11.28515625" style="53" customWidth="1"/>
    <col min="7948" max="7949" width="6.28515625" style="53" customWidth="1"/>
    <col min="7950" max="8192" width="9.140625" style="53"/>
    <col min="8193" max="8193" width="4.5703125" style="53" customWidth="1"/>
    <col min="8194" max="8194" width="11.7109375" style="53" customWidth="1"/>
    <col min="8195" max="8195" width="9.5703125" style="53" customWidth="1"/>
    <col min="8196" max="8196" width="15.42578125" style="53" customWidth="1"/>
    <col min="8197" max="8197" width="17" style="53" customWidth="1"/>
    <col min="8198" max="8200" width="7.140625" style="53" customWidth="1"/>
    <col min="8201" max="8203" width="11.28515625" style="53" customWidth="1"/>
    <col min="8204" max="8205" width="6.28515625" style="53" customWidth="1"/>
    <col min="8206" max="8448" width="9.140625" style="53"/>
    <col min="8449" max="8449" width="4.5703125" style="53" customWidth="1"/>
    <col min="8450" max="8450" width="11.7109375" style="53" customWidth="1"/>
    <col min="8451" max="8451" width="9.5703125" style="53" customWidth="1"/>
    <col min="8452" max="8452" width="15.42578125" style="53" customWidth="1"/>
    <col min="8453" max="8453" width="17" style="53" customWidth="1"/>
    <col min="8454" max="8456" width="7.140625" style="53" customWidth="1"/>
    <col min="8457" max="8459" width="11.28515625" style="53" customWidth="1"/>
    <col min="8460" max="8461" width="6.28515625" style="53" customWidth="1"/>
    <col min="8462" max="8704" width="9.140625" style="53"/>
    <col min="8705" max="8705" width="4.5703125" style="53" customWidth="1"/>
    <col min="8706" max="8706" width="11.7109375" style="53" customWidth="1"/>
    <col min="8707" max="8707" width="9.5703125" style="53" customWidth="1"/>
    <col min="8708" max="8708" width="15.42578125" style="53" customWidth="1"/>
    <col min="8709" max="8709" width="17" style="53" customWidth="1"/>
    <col min="8710" max="8712" width="7.140625" style="53" customWidth="1"/>
    <col min="8713" max="8715" width="11.28515625" style="53" customWidth="1"/>
    <col min="8716" max="8717" width="6.28515625" style="53" customWidth="1"/>
    <col min="8718" max="8960" width="9.140625" style="53"/>
    <col min="8961" max="8961" width="4.5703125" style="53" customWidth="1"/>
    <col min="8962" max="8962" width="11.7109375" style="53" customWidth="1"/>
    <col min="8963" max="8963" width="9.5703125" style="53" customWidth="1"/>
    <col min="8964" max="8964" width="15.42578125" style="53" customWidth="1"/>
    <col min="8965" max="8965" width="17" style="53" customWidth="1"/>
    <col min="8966" max="8968" width="7.140625" style="53" customWidth="1"/>
    <col min="8969" max="8971" width="11.28515625" style="53" customWidth="1"/>
    <col min="8972" max="8973" width="6.28515625" style="53" customWidth="1"/>
    <col min="8974" max="9216" width="9.140625" style="53"/>
    <col min="9217" max="9217" width="4.5703125" style="53" customWidth="1"/>
    <col min="9218" max="9218" width="11.7109375" style="53" customWidth="1"/>
    <col min="9219" max="9219" width="9.5703125" style="53" customWidth="1"/>
    <col min="9220" max="9220" width="15.42578125" style="53" customWidth="1"/>
    <col min="9221" max="9221" width="17" style="53" customWidth="1"/>
    <col min="9222" max="9224" width="7.140625" style="53" customWidth="1"/>
    <col min="9225" max="9227" width="11.28515625" style="53" customWidth="1"/>
    <col min="9228" max="9229" width="6.28515625" style="53" customWidth="1"/>
    <col min="9230" max="9472" width="9.140625" style="53"/>
    <col min="9473" max="9473" width="4.5703125" style="53" customWidth="1"/>
    <col min="9474" max="9474" width="11.7109375" style="53" customWidth="1"/>
    <col min="9475" max="9475" width="9.5703125" style="53" customWidth="1"/>
    <col min="9476" max="9476" width="15.42578125" style="53" customWidth="1"/>
    <col min="9477" max="9477" width="17" style="53" customWidth="1"/>
    <col min="9478" max="9480" width="7.140625" style="53" customWidth="1"/>
    <col min="9481" max="9483" width="11.28515625" style="53" customWidth="1"/>
    <col min="9484" max="9485" width="6.28515625" style="53" customWidth="1"/>
    <col min="9486" max="9728" width="9.140625" style="53"/>
    <col min="9729" max="9729" width="4.5703125" style="53" customWidth="1"/>
    <col min="9730" max="9730" width="11.7109375" style="53" customWidth="1"/>
    <col min="9731" max="9731" width="9.5703125" style="53" customWidth="1"/>
    <col min="9732" max="9732" width="15.42578125" style="53" customWidth="1"/>
    <col min="9733" max="9733" width="17" style="53" customWidth="1"/>
    <col min="9734" max="9736" width="7.140625" style="53" customWidth="1"/>
    <col min="9737" max="9739" width="11.28515625" style="53" customWidth="1"/>
    <col min="9740" max="9741" width="6.28515625" style="53" customWidth="1"/>
    <col min="9742" max="9984" width="9.140625" style="53"/>
    <col min="9985" max="9985" width="4.5703125" style="53" customWidth="1"/>
    <col min="9986" max="9986" width="11.7109375" style="53" customWidth="1"/>
    <col min="9987" max="9987" width="9.5703125" style="53" customWidth="1"/>
    <col min="9988" max="9988" width="15.42578125" style="53" customWidth="1"/>
    <col min="9989" max="9989" width="17" style="53" customWidth="1"/>
    <col min="9990" max="9992" width="7.140625" style="53" customWidth="1"/>
    <col min="9993" max="9995" width="11.28515625" style="53" customWidth="1"/>
    <col min="9996" max="9997" width="6.28515625" style="53" customWidth="1"/>
    <col min="9998" max="10240" width="9.140625" style="53"/>
    <col min="10241" max="10241" width="4.5703125" style="53" customWidth="1"/>
    <col min="10242" max="10242" width="11.7109375" style="53" customWidth="1"/>
    <col min="10243" max="10243" width="9.5703125" style="53" customWidth="1"/>
    <col min="10244" max="10244" width="15.42578125" style="53" customWidth="1"/>
    <col min="10245" max="10245" width="17" style="53" customWidth="1"/>
    <col min="10246" max="10248" width="7.140625" style="53" customWidth="1"/>
    <col min="10249" max="10251" width="11.28515625" style="53" customWidth="1"/>
    <col min="10252" max="10253" width="6.28515625" style="53" customWidth="1"/>
    <col min="10254" max="10496" width="9.140625" style="53"/>
    <col min="10497" max="10497" width="4.5703125" style="53" customWidth="1"/>
    <col min="10498" max="10498" width="11.7109375" style="53" customWidth="1"/>
    <col min="10499" max="10499" width="9.5703125" style="53" customWidth="1"/>
    <col min="10500" max="10500" width="15.42578125" style="53" customWidth="1"/>
    <col min="10501" max="10501" width="17" style="53" customWidth="1"/>
    <col min="10502" max="10504" width="7.140625" style="53" customWidth="1"/>
    <col min="10505" max="10507" width="11.28515625" style="53" customWidth="1"/>
    <col min="10508" max="10509" width="6.28515625" style="53" customWidth="1"/>
    <col min="10510" max="10752" width="9.140625" style="53"/>
    <col min="10753" max="10753" width="4.5703125" style="53" customWidth="1"/>
    <col min="10754" max="10754" width="11.7109375" style="53" customWidth="1"/>
    <col min="10755" max="10755" width="9.5703125" style="53" customWidth="1"/>
    <col min="10756" max="10756" width="15.42578125" style="53" customWidth="1"/>
    <col min="10757" max="10757" width="17" style="53" customWidth="1"/>
    <col min="10758" max="10760" width="7.140625" style="53" customWidth="1"/>
    <col min="10761" max="10763" width="11.28515625" style="53" customWidth="1"/>
    <col min="10764" max="10765" width="6.28515625" style="53" customWidth="1"/>
    <col min="10766" max="11008" width="9.140625" style="53"/>
    <col min="11009" max="11009" width="4.5703125" style="53" customWidth="1"/>
    <col min="11010" max="11010" width="11.7109375" style="53" customWidth="1"/>
    <col min="11011" max="11011" width="9.5703125" style="53" customWidth="1"/>
    <col min="11012" max="11012" width="15.42578125" style="53" customWidth="1"/>
    <col min="11013" max="11013" width="17" style="53" customWidth="1"/>
    <col min="11014" max="11016" width="7.140625" style="53" customWidth="1"/>
    <col min="11017" max="11019" width="11.28515625" style="53" customWidth="1"/>
    <col min="11020" max="11021" width="6.28515625" style="53" customWidth="1"/>
    <col min="11022" max="11264" width="9.140625" style="53"/>
    <col min="11265" max="11265" width="4.5703125" style="53" customWidth="1"/>
    <col min="11266" max="11266" width="11.7109375" style="53" customWidth="1"/>
    <col min="11267" max="11267" width="9.5703125" style="53" customWidth="1"/>
    <col min="11268" max="11268" width="15.42578125" style="53" customWidth="1"/>
    <col min="11269" max="11269" width="17" style="53" customWidth="1"/>
    <col min="11270" max="11272" width="7.140625" style="53" customWidth="1"/>
    <col min="11273" max="11275" width="11.28515625" style="53" customWidth="1"/>
    <col min="11276" max="11277" width="6.28515625" style="53" customWidth="1"/>
    <col min="11278" max="11520" width="9.140625" style="53"/>
    <col min="11521" max="11521" width="4.5703125" style="53" customWidth="1"/>
    <col min="11522" max="11522" width="11.7109375" style="53" customWidth="1"/>
    <col min="11523" max="11523" width="9.5703125" style="53" customWidth="1"/>
    <col min="11524" max="11524" width="15.42578125" style="53" customWidth="1"/>
    <col min="11525" max="11525" width="17" style="53" customWidth="1"/>
    <col min="11526" max="11528" width="7.140625" style="53" customWidth="1"/>
    <col min="11529" max="11531" width="11.28515625" style="53" customWidth="1"/>
    <col min="11532" max="11533" width="6.28515625" style="53" customWidth="1"/>
    <col min="11534" max="11776" width="9.140625" style="53"/>
    <col min="11777" max="11777" width="4.5703125" style="53" customWidth="1"/>
    <col min="11778" max="11778" width="11.7109375" style="53" customWidth="1"/>
    <col min="11779" max="11779" width="9.5703125" style="53" customWidth="1"/>
    <col min="11780" max="11780" width="15.42578125" style="53" customWidth="1"/>
    <col min="11781" max="11781" width="17" style="53" customWidth="1"/>
    <col min="11782" max="11784" width="7.140625" style="53" customWidth="1"/>
    <col min="11785" max="11787" width="11.28515625" style="53" customWidth="1"/>
    <col min="11788" max="11789" width="6.28515625" style="53" customWidth="1"/>
    <col min="11790" max="12032" width="9.140625" style="53"/>
    <col min="12033" max="12033" width="4.5703125" style="53" customWidth="1"/>
    <col min="12034" max="12034" width="11.7109375" style="53" customWidth="1"/>
    <col min="12035" max="12035" width="9.5703125" style="53" customWidth="1"/>
    <col min="12036" max="12036" width="15.42578125" style="53" customWidth="1"/>
    <col min="12037" max="12037" width="17" style="53" customWidth="1"/>
    <col min="12038" max="12040" width="7.140625" style="53" customWidth="1"/>
    <col min="12041" max="12043" width="11.28515625" style="53" customWidth="1"/>
    <col min="12044" max="12045" width="6.28515625" style="53" customWidth="1"/>
    <col min="12046" max="12288" width="9.140625" style="53"/>
    <col min="12289" max="12289" width="4.5703125" style="53" customWidth="1"/>
    <col min="12290" max="12290" width="11.7109375" style="53" customWidth="1"/>
    <col min="12291" max="12291" width="9.5703125" style="53" customWidth="1"/>
    <col min="12292" max="12292" width="15.42578125" style="53" customWidth="1"/>
    <col min="12293" max="12293" width="17" style="53" customWidth="1"/>
    <col min="12294" max="12296" width="7.140625" style="53" customWidth="1"/>
    <col min="12297" max="12299" width="11.28515625" style="53" customWidth="1"/>
    <col min="12300" max="12301" width="6.28515625" style="53" customWidth="1"/>
    <col min="12302" max="12544" width="9.140625" style="53"/>
    <col min="12545" max="12545" width="4.5703125" style="53" customWidth="1"/>
    <col min="12546" max="12546" width="11.7109375" style="53" customWidth="1"/>
    <col min="12547" max="12547" width="9.5703125" style="53" customWidth="1"/>
    <col min="12548" max="12548" width="15.42578125" style="53" customWidth="1"/>
    <col min="12549" max="12549" width="17" style="53" customWidth="1"/>
    <col min="12550" max="12552" width="7.140625" style="53" customWidth="1"/>
    <col min="12553" max="12555" width="11.28515625" style="53" customWidth="1"/>
    <col min="12556" max="12557" width="6.28515625" style="53" customWidth="1"/>
    <col min="12558" max="12800" width="9.140625" style="53"/>
    <col min="12801" max="12801" width="4.5703125" style="53" customWidth="1"/>
    <col min="12802" max="12802" width="11.7109375" style="53" customWidth="1"/>
    <col min="12803" max="12803" width="9.5703125" style="53" customWidth="1"/>
    <col min="12804" max="12804" width="15.42578125" style="53" customWidth="1"/>
    <col min="12805" max="12805" width="17" style="53" customWidth="1"/>
    <col min="12806" max="12808" width="7.140625" style="53" customWidth="1"/>
    <col min="12809" max="12811" width="11.28515625" style="53" customWidth="1"/>
    <col min="12812" max="12813" width="6.28515625" style="53" customWidth="1"/>
    <col min="12814" max="13056" width="9.140625" style="53"/>
    <col min="13057" max="13057" width="4.5703125" style="53" customWidth="1"/>
    <col min="13058" max="13058" width="11.7109375" style="53" customWidth="1"/>
    <col min="13059" max="13059" width="9.5703125" style="53" customWidth="1"/>
    <col min="13060" max="13060" width="15.42578125" style="53" customWidth="1"/>
    <col min="13061" max="13061" width="17" style="53" customWidth="1"/>
    <col min="13062" max="13064" width="7.140625" style="53" customWidth="1"/>
    <col min="13065" max="13067" width="11.28515625" style="53" customWidth="1"/>
    <col min="13068" max="13069" width="6.28515625" style="53" customWidth="1"/>
    <col min="13070" max="13312" width="9.140625" style="53"/>
    <col min="13313" max="13313" width="4.5703125" style="53" customWidth="1"/>
    <col min="13314" max="13314" width="11.7109375" style="53" customWidth="1"/>
    <col min="13315" max="13315" width="9.5703125" style="53" customWidth="1"/>
    <col min="13316" max="13316" width="15.42578125" style="53" customWidth="1"/>
    <col min="13317" max="13317" width="17" style="53" customWidth="1"/>
    <col min="13318" max="13320" width="7.140625" style="53" customWidth="1"/>
    <col min="13321" max="13323" width="11.28515625" style="53" customWidth="1"/>
    <col min="13324" max="13325" width="6.28515625" style="53" customWidth="1"/>
    <col min="13326" max="13568" width="9.140625" style="53"/>
    <col min="13569" max="13569" width="4.5703125" style="53" customWidth="1"/>
    <col min="13570" max="13570" width="11.7109375" style="53" customWidth="1"/>
    <col min="13571" max="13571" width="9.5703125" style="53" customWidth="1"/>
    <col min="13572" max="13572" width="15.42578125" style="53" customWidth="1"/>
    <col min="13573" max="13573" width="17" style="53" customWidth="1"/>
    <col min="13574" max="13576" width="7.140625" style="53" customWidth="1"/>
    <col min="13577" max="13579" width="11.28515625" style="53" customWidth="1"/>
    <col min="13580" max="13581" width="6.28515625" style="53" customWidth="1"/>
    <col min="13582" max="13824" width="9.140625" style="53"/>
    <col min="13825" max="13825" width="4.5703125" style="53" customWidth="1"/>
    <col min="13826" max="13826" width="11.7109375" style="53" customWidth="1"/>
    <col min="13827" max="13827" width="9.5703125" style="53" customWidth="1"/>
    <col min="13828" max="13828" width="15.42578125" style="53" customWidth="1"/>
    <col min="13829" max="13829" width="17" style="53" customWidth="1"/>
    <col min="13830" max="13832" width="7.140625" style="53" customWidth="1"/>
    <col min="13833" max="13835" width="11.28515625" style="53" customWidth="1"/>
    <col min="13836" max="13837" width="6.28515625" style="53" customWidth="1"/>
    <col min="13838" max="14080" width="9.140625" style="53"/>
    <col min="14081" max="14081" width="4.5703125" style="53" customWidth="1"/>
    <col min="14082" max="14082" width="11.7109375" style="53" customWidth="1"/>
    <col min="14083" max="14083" width="9.5703125" style="53" customWidth="1"/>
    <col min="14084" max="14084" width="15.42578125" style="53" customWidth="1"/>
    <col min="14085" max="14085" width="17" style="53" customWidth="1"/>
    <col min="14086" max="14088" width="7.140625" style="53" customWidth="1"/>
    <col min="14089" max="14091" width="11.28515625" style="53" customWidth="1"/>
    <col min="14092" max="14093" width="6.28515625" style="53" customWidth="1"/>
    <col min="14094" max="14336" width="9.140625" style="53"/>
    <col min="14337" max="14337" width="4.5703125" style="53" customWidth="1"/>
    <col min="14338" max="14338" width="11.7109375" style="53" customWidth="1"/>
    <col min="14339" max="14339" width="9.5703125" style="53" customWidth="1"/>
    <col min="14340" max="14340" width="15.42578125" style="53" customWidth="1"/>
    <col min="14341" max="14341" width="17" style="53" customWidth="1"/>
    <col min="14342" max="14344" width="7.140625" style="53" customWidth="1"/>
    <col min="14345" max="14347" width="11.28515625" style="53" customWidth="1"/>
    <col min="14348" max="14349" width="6.28515625" style="53" customWidth="1"/>
    <col min="14350" max="14592" width="9.140625" style="53"/>
    <col min="14593" max="14593" width="4.5703125" style="53" customWidth="1"/>
    <col min="14594" max="14594" width="11.7109375" style="53" customWidth="1"/>
    <col min="14595" max="14595" width="9.5703125" style="53" customWidth="1"/>
    <col min="14596" max="14596" width="15.42578125" style="53" customWidth="1"/>
    <col min="14597" max="14597" width="17" style="53" customWidth="1"/>
    <col min="14598" max="14600" width="7.140625" style="53" customWidth="1"/>
    <col min="14601" max="14603" width="11.28515625" style="53" customWidth="1"/>
    <col min="14604" max="14605" width="6.28515625" style="53" customWidth="1"/>
    <col min="14606" max="14848" width="9.140625" style="53"/>
    <col min="14849" max="14849" width="4.5703125" style="53" customWidth="1"/>
    <col min="14850" max="14850" width="11.7109375" style="53" customWidth="1"/>
    <col min="14851" max="14851" width="9.5703125" style="53" customWidth="1"/>
    <col min="14852" max="14852" width="15.42578125" style="53" customWidth="1"/>
    <col min="14853" max="14853" width="17" style="53" customWidth="1"/>
    <col min="14854" max="14856" width="7.140625" style="53" customWidth="1"/>
    <col min="14857" max="14859" width="11.28515625" style="53" customWidth="1"/>
    <col min="14860" max="14861" width="6.28515625" style="53" customWidth="1"/>
    <col min="14862" max="15104" width="9.140625" style="53"/>
    <col min="15105" max="15105" width="4.5703125" style="53" customWidth="1"/>
    <col min="15106" max="15106" width="11.7109375" style="53" customWidth="1"/>
    <col min="15107" max="15107" width="9.5703125" style="53" customWidth="1"/>
    <col min="15108" max="15108" width="15.42578125" style="53" customWidth="1"/>
    <col min="15109" max="15109" width="17" style="53" customWidth="1"/>
    <col min="15110" max="15112" width="7.140625" style="53" customWidth="1"/>
    <col min="15113" max="15115" width="11.28515625" style="53" customWidth="1"/>
    <col min="15116" max="15117" width="6.28515625" style="53" customWidth="1"/>
    <col min="15118" max="15360" width="9.140625" style="53"/>
    <col min="15361" max="15361" width="4.5703125" style="53" customWidth="1"/>
    <col min="15362" max="15362" width="11.7109375" style="53" customWidth="1"/>
    <col min="15363" max="15363" width="9.5703125" style="53" customWidth="1"/>
    <col min="15364" max="15364" width="15.42578125" style="53" customWidth="1"/>
    <col min="15365" max="15365" width="17" style="53" customWidth="1"/>
    <col min="15366" max="15368" width="7.140625" style="53" customWidth="1"/>
    <col min="15369" max="15371" width="11.28515625" style="53" customWidth="1"/>
    <col min="15372" max="15373" width="6.28515625" style="53" customWidth="1"/>
    <col min="15374" max="15616" width="9.140625" style="53"/>
    <col min="15617" max="15617" width="4.5703125" style="53" customWidth="1"/>
    <col min="15618" max="15618" width="11.7109375" style="53" customWidth="1"/>
    <col min="15619" max="15619" width="9.5703125" style="53" customWidth="1"/>
    <col min="15620" max="15620" width="15.42578125" style="53" customWidth="1"/>
    <col min="15621" max="15621" width="17" style="53" customWidth="1"/>
    <col min="15622" max="15624" width="7.140625" style="53" customWidth="1"/>
    <col min="15625" max="15627" width="11.28515625" style="53" customWidth="1"/>
    <col min="15628" max="15629" width="6.28515625" style="53" customWidth="1"/>
    <col min="15630" max="15872" width="9.140625" style="53"/>
    <col min="15873" max="15873" width="4.5703125" style="53" customWidth="1"/>
    <col min="15874" max="15874" width="11.7109375" style="53" customWidth="1"/>
    <col min="15875" max="15875" width="9.5703125" style="53" customWidth="1"/>
    <col min="15876" max="15876" width="15.42578125" style="53" customWidth="1"/>
    <col min="15877" max="15877" width="17" style="53" customWidth="1"/>
    <col min="15878" max="15880" width="7.140625" style="53" customWidth="1"/>
    <col min="15881" max="15883" width="11.28515625" style="53" customWidth="1"/>
    <col min="15884" max="15885" width="6.28515625" style="53" customWidth="1"/>
    <col min="15886" max="16128" width="9.140625" style="53"/>
    <col min="16129" max="16129" width="4.5703125" style="53" customWidth="1"/>
    <col min="16130" max="16130" width="11.7109375" style="53" customWidth="1"/>
    <col min="16131" max="16131" width="9.5703125" style="53" customWidth="1"/>
    <col min="16132" max="16132" width="15.42578125" style="53" customWidth="1"/>
    <col min="16133" max="16133" width="17" style="53" customWidth="1"/>
    <col min="16134" max="16136" width="7.140625" style="53" customWidth="1"/>
    <col min="16137" max="16139" width="11.28515625" style="53" customWidth="1"/>
    <col min="16140" max="16141" width="6.28515625" style="53" customWidth="1"/>
    <col min="16142" max="16384" width="9.140625" style="53"/>
  </cols>
  <sheetData>
    <row r="1" spans="1:14" ht="18.75" x14ac:dyDescent="0.3">
      <c r="A1" s="458" t="s">
        <v>269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</row>
    <row r="2" spans="1:14" ht="15.75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s="180" customFormat="1" ht="98.25" customHeight="1" x14ac:dyDescent="0.3">
      <c r="A3" s="459" t="s">
        <v>229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</row>
    <row r="4" spans="1:14" ht="6.75" customHeight="1" x14ac:dyDescent="0.25">
      <c r="A4" s="420"/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</row>
    <row r="5" spans="1:14" ht="6.75" customHeigh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1:14" ht="15.75" x14ac:dyDescent="0.25">
      <c r="A6" s="460" t="s">
        <v>159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</row>
    <row r="7" spans="1:14" ht="16.5" customHeight="1" x14ac:dyDescent="0.25">
      <c r="A7" s="181" t="s">
        <v>160</v>
      </c>
      <c r="B7" s="182"/>
      <c r="C7" s="181" t="s">
        <v>230</v>
      </c>
      <c r="D7" s="182"/>
      <c r="E7" s="182"/>
      <c r="F7" s="182"/>
      <c r="G7" s="182"/>
      <c r="H7" s="182"/>
      <c r="I7" s="182"/>
      <c r="J7" s="182"/>
      <c r="K7" s="182"/>
      <c r="L7" s="182"/>
      <c r="M7" s="182"/>
    </row>
    <row r="8" spans="1:14" ht="9" customHeight="1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</row>
    <row r="9" spans="1:14" ht="15.75" x14ac:dyDescent="0.25">
      <c r="A9" s="462" t="s">
        <v>161</v>
      </c>
      <c r="B9" s="462"/>
      <c r="C9" s="462"/>
      <c r="D9" s="462"/>
      <c r="E9" s="462"/>
      <c r="F9" s="462"/>
      <c r="G9" s="462"/>
      <c r="H9" s="462"/>
      <c r="I9" s="462"/>
      <c r="J9" s="462"/>
      <c r="K9" s="462"/>
      <c r="L9" s="462"/>
      <c r="M9" s="462"/>
    </row>
    <row r="10" spans="1:14" ht="8.25" customHeight="1" x14ac:dyDescent="0.25">
      <c r="A10" s="462"/>
      <c r="B10" s="462"/>
      <c r="C10" s="462"/>
      <c r="D10" s="462"/>
      <c r="E10" s="462"/>
      <c r="F10" s="462"/>
      <c r="G10" s="462"/>
      <c r="H10" s="462"/>
      <c r="I10" s="462"/>
      <c r="J10" s="462"/>
      <c r="K10" s="462"/>
      <c r="L10" s="462"/>
      <c r="M10" s="462"/>
      <c r="N10" s="184"/>
    </row>
    <row r="11" spans="1:14" ht="8.25" customHeight="1" x14ac:dyDescent="0.25">
      <c r="A11" s="185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4"/>
    </row>
    <row r="12" spans="1:14" ht="30.75" customHeight="1" x14ac:dyDescent="0.2">
      <c r="A12" s="463" t="s">
        <v>119</v>
      </c>
      <c r="B12" s="466" t="s">
        <v>162</v>
      </c>
      <c r="C12" s="467"/>
      <c r="D12" s="467"/>
      <c r="E12" s="468"/>
      <c r="F12" s="475" t="s">
        <v>163</v>
      </c>
      <c r="G12" s="475"/>
      <c r="H12" s="476"/>
      <c r="I12" s="467" t="s">
        <v>164</v>
      </c>
      <c r="J12" s="467"/>
      <c r="K12" s="468"/>
      <c r="L12" s="466" t="s">
        <v>165</v>
      </c>
      <c r="M12" s="468"/>
    </row>
    <row r="13" spans="1:14" ht="30.75" customHeight="1" x14ac:dyDescent="0.2">
      <c r="A13" s="464"/>
      <c r="B13" s="469"/>
      <c r="C13" s="470"/>
      <c r="D13" s="470"/>
      <c r="E13" s="471"/>
      <c r="F13" s="477"/>
      <c r="G13" s="477"/>
      <c r="H13" s="478"/>
      <c r="I13" s="470"/>
      <c r="J13" s="470"/>
      <c r="K13" s="471"/>
      <c r="L13" s="469"/>
      <c r="M13" s="471"/>
      <c r="N13" s="184"/>
    </row>
    <row r="14" spans="1:14" ht="12.75" customHeight="1" x14ac:dyDescent="0.2">
      <c r="A14" s="465"/>
      <c r="B14" s="472"/>
      <c r="C14" s="473"/>
      <c r="D14" s="473"/>
      <c r="E14" s="474"/>
      <c r="F14" s="479"/>
      <c r="G14" s="479"/>
      <c r="H14" s="480"/>
      <c r="I14" s="473"/>
      <c r="J14" s="473"/>
      <c r="K14" s="474"/>
      <c r="L14" s="472"/>
      <c r="M14" s="474"/>
      <c r="N14" s="186"/>
    </row>
    <row r="15" spans="1:14" s="189" customFormat="1" ht="12.75" customHeight="1" x14ac:dyDescent="0.2">
      <c r="A15" s="187">
        <v>1</v>
      </c>
      <c r="B15" s="452">
        <v>2</v>
      </c>
      <c r="C15" s="453"/>
      <c r="D15" s="453"/>
      <c r="E15" s="454"/>
      <c r="F15" s="455">
        <v>3</v>
      </c>
      <c r="G15" s="456"/>
      <c r="H15" s="457"/>
      <c r="I15" s="452">
        <v>4</v>
      </c>
      <c r="J15" s="453"/>
      <c r="K15" s="454"/>
      <c r="L15" s="452">
        <v>5</v>
      </c>
      <c r="M15" s="454"/>
      <c r="N15" s="188"/>
    </row>
    <row r="16" spans="1:14" ht="9.75" customHeight="1" x14ac:dyDescent="0.25">
      <c r="A16" s="362">
        <v>1</v>
      </c>
      <c r="B16" s="412" t="s">
        <v>166</v>
      </c>
      <c r="C16" s="413"/>
      <c r="D16" s="413"/>
      <c r="E16" s="414"/>
      <c r="F16" s="412" t="s">
        <v>167</v>
      </c>
      <c r="G16" s="413"/>
      <c r="H16" s="414"/>
      <c r="I16" s="38"/>
      <c r="J16" s="38"/>
      <c r="K16" s="190"/>
      <c r="L16" s="191"/>
      <c r="M16" s="192"/>
    </row>
    <row r="17" spans="1:13" ht="9.75" customHeight="1" x14ac:dyDescent="0.25">
      <c r="A17" s="363"/>
      <c r="B17" s="412"/>
      <c r="C17" s="413"/>
      <c r="D17" s="413"/>
      <c r="E17" s="414"/>
      <c r="F17" s="412"/>
      <c r="G17" s="426"/>
      <c r="H17" s="414"/>
      <c r="I17" s="38"/>
      <c r="J17" s="38"/>
      <c r="K17" s="190"/>
      <c r="L17" s="191"/>
      <c r="M17" s="192"/>
    </row>
    <row r="18" spans="1:13" ht="15.75" x14ac:dyDescent="0.25">
      <c r="A18" s="363"/>
      <c r="B18" s="193" t="s">
        <v>168</v>
      </c>
      <c r="C18" s="193">
        <v>1</v>
      </c>
      <c r="D18" s="427" t="s">
        <v>88</v>
      </c>
      <c r="E18" s="428"/>
      <c r="F18" s="412"/>
      <c r="G18" s="426"/>
      <c r="H18" s="414"/>
      <c r="I18" s="38"/>
      <c r="J18" s="38"/>
      <c r="K18" s="190"/>
      <c r="L18" s="191"/>
      <c r="M18" s="192"/>
    </row>
    <row r="19" spans="1:13" ht="15.75" x14ac:dyDescent="0.25">
      <c r="A19" s="363"/>
      <c r="B19" s="193"/>
      <c r="C19" s="194">
        <f>(1000*8)/10000/1000</f>
        <v>8.0000000000000004E-4</v>
      </c>
      <c r="D19" s="427" t="s">
        <v>99</v>
      </c>
      <c r="E19" s="428"/>
      <c r="F19" s="412"/>
      <c r="G19" s="426"/>
      <c r="H19" s="414"/>
      <c r="I19" s="38"/>
      <c r="J19" s="38"/>
      <c r="K19" s="190"/>
      <c r="L19" s="191"/>
      <c r="M19" s="192"/>
    </row>
    <row r="20" spans="1:13" ht="15.75" x14ac:dyDescent="0.25">
      <c r="A20" s="363"/>
      <c r="B20" s="193"/>
      <c r="C20" s="193">
        <v>0</v>
      </c>
      <c r="D20" s="427" t="s">
        <v>169</v>
      </c>
      <c r="E20" s="428"/>
      <c r="F20" s="412"/>
      <c r="G20" s="426"/>
      <c r="H20" s="414"/>
      <c r="I20" s="38"/>
      <c r="J20" s="38"/>
      <c r="K20" s="190"/>
      <c r="L20" s="191"/>
      <c r="M20" s="192"/>
    </row>
    <row r="21" spans="1:13" ht="15.75" x14ac:dyDescent="0.25">
      <c r="A21" s="363"/>
      <c r="B21" s="193"/>
      <c r="C21" s="193">
        <v>0</v>
      </c>
      <c r="D21" s="427" t="s">
        <v>170</v>
      </c>
      <c r="E21" s="428"/>
      <c r="F21" s="412"/>
      <c r="G21" s="426"/>
      <c r="H21" s="414"/>
      <c r="I21" s="38"/>
      <c r="J21" s="38"/>
      <c r="K21" s="190"/>
      <c r="L21" s="191"/>
      <c r="M21" s="192"/>
    </row>
    <row r="22" spans="1:13" ht="15.75" x14ac:dyDescent="0.25">
      <c r="A22" s="363"/>
      <c r="B22" s="193" t="s">
        <v>171</v>
      </c>
      <c r="C22" s="193">
        <v>56</v>
      </c>
      <c r="D22" s="449" t="s">
        <v>172</v>
      </c>
      <c r="E22" s="450"/>
      <c r="F22" s="412"/>
      <c r="G22" s="426"/>
      <c r="H22" s="414"/>
      <c r="I22" s="419" t="s">
        <v>173</v>
      </c>
      <c r="J22" s="420"/>
      <c r="K22" s="421"/>
      <c r="L22" s="402">
        <f>C22*C24*C25*C18</f>
        <v>5.6403200000000018</v>
      </c>
      <c r="M22" s="403"/>
    </row>
    <row r="23" spans="1:13" ht="15.75" x14ac:dyDescent="0.25">
      <c r="A23" s="363"/>
      <c r="B23" s="193" t="s">
        <v>174</v>
      </c>
      <c r="C23" s="193">
        <v>34</v>
      </c>
      <c r="D23" s="449" t="s">
        <v>172</v>
      </c>
      <c r="E23" s="450"/>
      <c r="F23" s="412"/>
      <c r="G23" s="426"/>
      <c r="H23" s="414"/>
      <c r="I23" s="419" t="s">
        <v>175</v>
      </c>
      <c r="J23" s="420"/>
      <c r="K23" s="421"/>
      <c r="L23" s="402">
        <f>C23*C26*(C19+C20+C21)</f>
        <v>8.175232000000001E-3</v>
      </c>
      <c r="M23" s="403"/>
    </row>
    <row r="24" spans="1:13" ht="15.75" x14ac:dyDescent="0.25">
      <c r="A24" s="363"/>
      <c r="B24" s="193" t="s">
        <v>176</v>
      </c>
      <c r="C24" s="193">
        <f>1-0.9*(1-(C19+C20+C21))</f>
        <v>0.10072000000000003</v>
      </c>
      <c r="D24" s="424" t="s">
        <v>177</v>
      </c>
      <c r="E24" s="425"/>
      <c r="F24" s="412"/>
      <c r="G24" s="426"/>
      <c r="H24" s="414"/>
      <c r="I24" s="38"/>
      <c r="J24" s="38"/>
      <c r="K24" s="190"/>
      <c r="L24" s="191"/>
      <c r="M24" s="192"/>
    </row>
    <row r="25" spans="1:13" ht="15.75" x14ac:dyDescent="0.25">
      <c r="A25" s="363"/>
      <c r="B25" s="193" t="s">
        <v>178</v>
      </c>
      <c r="C25" s="193">
        <f>1+0.2*(1-1)</f>
        <v>1</v>
      </c>
      <c r="D25" s="424" t="s">
        <v>179</v>
      </c>
      <c r="E25" s="425"/>
      <c r="F25" s="412"/>
      <c r="G25" s="426"/>
      <c r="H25" s="414"/>
      <c r="I25" s="38"/>
      <c r="J25" s="38"/>
      <c r="K25" s="190"/>
      <c r="L25" s="191"/>
      <c r="M25" s="192"/>
    </row>
    <row r="26" spans="1:13" ht="15.75" x14ac:dyDescent="0.25">
      <c r="A26" s="363"/>
      <c r="B26" s="195" t="s">
        <v>180</v>
      </c>
      <c r="C26" s="195">
        <f>1-0.7*(1-(C19+C20+C21))</f>
        <v>0.30056000000000005</v>
      </c>
      <c r="D26" s="424" t="s">
        <v>181</v>
      </c>
      <c r="E26" s="425"/>
      <c r="F26" s="411"/>
      <c r="G26" s="400"/>
      <c r="H26" s="401"/>
      <c r="I26" s="196"/>
      <c r="J26" s="185"/>
      <c r="K26" s="197"/>
      <c r="L26" s="198"/>
      <c r="M26" s="199"/>
    </row>
    <row r="27" spans="1:13" ht="15.75" x14ac:dyDescent="0.25">
      <c r="A27" s="363"/>
      <c r="B27" s="404">
        <v>1.99</v>
      </c>
      <c r="C27" s="398" t="s">
        <v>182</v>
      </c>
      <c r="D27" s="398"/>
      <c r="E27" s="399"/>
      <c r="F27" s="383" t="s">
        <v>183</v>
      </c>
      <c r="G27" s="384"/>
      <c r="H27" s="385"/>
      <c r="I27" s="38"/>
      <c r="J27" s="38"/>
      <c r="K27" s="190"/>
      <c r="L27" s="392">
        <f>(L22+L23)*B27</f>
        <v>11.240505511680004</v>
      </c>
      <c r="M27" s="393"/>
    </row>
    <row r="28" spans="1:13" ht="15.75" x14ac:dyDescent="0.25">
      <c r="A28" s="363"/>
      <c r="B28" s="405"/>
      <c r="C28" s="400"/>
      <c r="D28" s="400"/>
      <c r="E28" s="401"/>
      <c r="F28" s="389"/>
      <c r="G28" s="390"/>
      <c r="H28" s="391"/>
      <c r="I28" s="196"/>
      <c r="J28" s="185"/>
      <c r="K28" s="197"/>
      <c r="L28" s="396"/>
      <c r="M28" s="397"/>
    </row>
    <row r="29" spans="1:13" ht="15.75" x14ac:dyDescent="0.25">
      <c r="A29" s="364"/>
      <c r="B29" s="359" t="s">
        <v>184</v>
      </c>
      <c r="C29" s="360"/>
      <c r="D29" s="360"/>
      <c r="E29" s="360"/>
      <c r="F29" s="201"/>
      <c r="G29" s="201"/>
      <c r="H29" s="201"/>
      <c r="I29" s="201"/>
      <c r="J29" s="201"/>
      <c r="K29" s="202"/>
      <c r="L29" s="438">
        <f>L27</f>
        <v>11.240505511680004</v>
      </c>
      <c r="M29" s="439"/>
    </row>
    <row r="30" spans="1:13" ht="6.75" customHeight="1" x14ac:dyDescent="0.25">
      <c r="A30" s="362">
        <v>2</v>
      </c>
      <c r="B30" s="410" t="s">
        <v>185</v>
      </c>
      <c r="C30" s="398"/>
      <c r="D30" s="398"/>
      <c r="E30" s="399"/>
      <c r="F30" s="410" t="s">
        <v>186</v>
      </c>
      <c r="G30" s="398"/>
      <c r="H30" s="399"/>
      <c r="I30" s="200"/>
      <c r="J30" s="200"/>
      <c r="K30" s="190"/>
      <c r="L30" s="203"/>
      <c r="M30" s="204"/>
    </row>
    <row r="31" spans="1:13" ht="6.75" customHeight="1" x14ac:dyDescent="0.25">
      <c r="A31" s="363"/>
      <c r="B31" s="411"/>
      <c r="C31" s="400"/>
      <c r="D31" s="400"/>
      <c r="E31" s="401"/>
      <c r="F31" s="412"/>
      <c r="G31" s="413"/>
      <c r="H31" s="414"/>
      <c r="I31" s="200"/>
      <c r="J31" s="200"/>
      <c r="K31" s="190"/>
      <c r="L31" s="203"/>
      <c r="M31" s="204"/>
    </row>
    <row r="32" spans="1:13" ht="15.75" x14ac:dyDescent="0.25">
      <c r="A32" s="363"/>
      <c r="B32" s="193" t="s">
        <v>168</v>
      </c>
      <c r="C32" s="193">
        <v>1</v>
      </c>
      <c r="D32" s="427" t="s">
        <v>76</v>
      </c>
      <c r="E32" s="428"/>
      <c r="F32" s="412"/>
      <c r="G32" s="413"/>
      <c r="H32" s="414"/>
      <c r="I32" s="200"/>
      <c r="J32" s="200"/>
      <c r="K32" s="190"/>
      <c r="L32" s="203"/>
      <c r="M32" s="204"/>
    </row>
    <row r="33" spans="1:13" ht="15.75" x14ac:dyDescent="0.25">
      <c r="A33" s="363"/>
      <c r="B33" s="193"/>
      <c r="C33" s="194">
        <f>C19</f>
        <v>8.0000000000000004E-4</v>
      </c>
      <c r="D33" s="427" t="s">
        <v>99</v>
      </c>
      <c r="E33" s="428"/>
      <c r="F33" s="412"/>
      <c r="G33" s="413"/>
      <c r="H33" s="414"/>
      <c r="I33" s="200"/>
      <c r="J33" s="200"/>
      <c r="K33" s="190"/>
      <c r="L33" s="203"/>
      <c r="M33" s="204"/>
    </row>
    <row r="34" spans="1:13" ht="15.75" x14ac:dyDescent="0.25">
      <c r="A34" s="363"/>
      <c r="B34" s="193"/>
      <c r="C34" s="193">
        <v>0</v>
      </c>
      <c r="D34" s="427" t="s">
        <v>169</v>
      </c>
      <c r="E34" s="428"/>
      <c r="F34" s="412"/>
      <c r="G34" s="413"/>
      <c r="H34" s="414"/>
      <c r="I34" s="200"/>
      <c r="J34" s="200"/>
      <c r="K34" s="190"/>
      <c r="L34" s="203"/>
      <c r="M34" s="204"/>
    </row>
    <row r="35" spans="1:13" ht="15.75" x14ac:dyDescent="0.25">
      <c r="A35" s="363"/>
      <c r="B35" s="193"/>
      <c r="C35" s="193">
        <v>0</v>
      </c>
      <c r="D35" s="427" t="s">
        <v>170</v>
      </c>
      <c r="E35" s="428"/>
      <c r="F35" s="412"/>
      <c r="G35" s="413"/>
      <c r="H35" s="414"/>
      <c r="I35" s="200"/>
      <c r="J35" s="200"/>
      <c r="K35" s="190"/>
      <c r="L35" s="203"/>
      <c r="M35" s="204"/>
    </row>
    <row r="36" spans="1:13" ht="15.75" x14ac:dyDescent="0.25">
      <c r="A36" s="363"/>
      <c r="B36" s="193" t="s">
        <v>171</v>
      </c>
      <c r="C36" s="193">
        <v>1363</v>
      </c>
      <c r="D36" s="449" t="s">
        <v>172</v>
      </c>
      <c r="E36" s="450"/>
      <c r="F36" s="412"/>
      <c r="G36" s="413"/>
      <c r="H36" s="414"/>
      <c r="I36" s="419" t="s">
        <v>187</v>
      </c>
      <c r="J36" s="451"/>
      <c r="K36" s="421"/>
      <c r="L36" s="394">
        <f>C36*C38*C39*C40*C32</f>
        <v>137.28136000000003</v>
      </c>
      <c r="M36" s="395"/>
    </row>
    <row r="37" spans="1:13" ht="15.75" x14ac:dyDescent="0.25">
      <c r="A37" s="363"/>
      <c r="B37" s="193" t="s">
        <v>174</v>
      </c>
      <c r="C37" s="193">
        <v>3431</v>
      </c>
      <c r="D37" s="449" t="s">
        <v>172</v>
      </c>
      <c r="E37" s="450"/>
      <c r="F37" s="412"/>
      <c r="G37" s="413"/>
      <c r="H37" s="414"/>
      <c r="I37" s="419" t="s">
        <v>188</v>
      </c>
      <c r="J37" s="451"/>
      <c r="K37" s="421"/>
      <c r="L37" s="394">
        <f>C37*C41*(C33+C34+C35)</f>
        <v>2.7448000000000001</v>
      </c>
      <c r="M37" s="395"/>
    </row>
    <row r="38" spans="1:13" ht="15.75" x14ac:dyDescent="0.25">
      <c r="A38" s="363"/>
      <c r="B38" s="205" t="s">
        <v>176</v>
      </c>
      <c r="C38" s="205">
        <f>1-0.9*(1-(C33+C34+C35))</f>
        <v>0.10072000000000003</v>
      </c>
      <c r="D38" s="424" t="s">
        <v>189</v>
      </c>
      <c r="E38" s="425"/>
      <c r="F38" s="412"/>
      <c r="G38" s="413"/>
      <c r="H38" s="414"/>
      <c r="I38" s="200"/>
      <c r="J38" s="200"/>
      <c r="K38" s="190"/>
      <c r="L38" s="203"/>
      <c r="M38" s="204"/>
    </row>
    <row r="39" spans="1:13" ht="15.75" x14ac:dyDescent="0.25">
      <c r="A39" s="363"/>
      <c r="B39" s="205" t="s">
        <v>190</v>
      </c>
      <c r="C39" s="205">
        <f>1+0.1*(1-1)</f>
        <v>1</v>
      </c>
      <c r="D39" s="424" t="s">
        <v>191</v>
      </c>
      <c r="E39" s="425"/>
      <c r="F39" s="412"/>
      <c r="G39" s="413"/>
      <c r="H39" s="414"/>
      <c r="I39" s="200"/>
      <c r="J39" s="200"/>
      <c r="K39" s="190"/>
      <c r="L39" s="203"/>
      <c r="M39" s="204"/>
    </row>
    <row r="40" spans="1:13" ht="15.75" x14ac:dyDescent="0.25">
      <c r="A40" s="363"/>
      <c r="B40" s="205" t="s">
        <v>192</v>
      </c>
      <c r="C40" s="205">
        <f>1+0.1*(1-1)</f>
        <v>1</v>
      </c>
      <c r="D40" s="424" t="s">
        <v>193</v>
      </c>
      <c r="E40" s="425"/>
      <c r="F40" s="412"/>
      <c r="G40" s="413"/>
      <c r="H40" s="414"/>
      <c r="I40" s="200"/>
      <c r="J40" s="200"/>
      <c r="K40" s="190"/>
      <c r="L40" s="203"/>
      <c r="M40" s="204"/>
    </row>
    <row r="41" spans="1:13" ht="15.75" x14ac:dyDescent="0.25">
      <c r="A41" s="363"/>
      <c r="B41" s="205" t="s">
        <v>194</v>
      </c>
      <c r="C41" s="205">
        <f>1+0.01*(5-5)</f>
        <v>1</v>
      </c>
      <c r="D41" s="424" t="s">
        <v>195</v>
      </c>
      <c r="E41" s="425"/>
      <c r="F41" s="411"/>
      <c r="G41" s="400"/>
      <c r="H41" s="401"/>
      <c r="I41" s="196"/>
      <c r="J41" s="185"/>
      <c r="K41" s="197"/>
      <c r="L41" s="206"/>
      <c r="M41" s="207"/>
    </row>
    <row r="42" spans="1:13" ht="15.75" customHeight="1" x14ac:dyDescent="0.25">
      <c r="A42" s="363"/>
      <c r="B42" s="404">
        <v>2.2200000000000002</v>
      </c>
      <c r="C42" s="410" t="s">
        <v>182</v>
      </c>
      <c r="D42" s="398"/>
      <c r="E42" s="399"/>
      <c r="F42" s="383" t="s">
        <v>183</v>
      </c>
      <c r="G42" s="384"/>
      <c r="H42" s="385"/>
      <c r="I42" s="200"/>
      <c r="J42" s="200"/>
      <c r="K42" s="190"/>
      <c r="L42" s="392">
        <f>(L36+L37)*B42</f>
        <v>310.85807520000009</v>
      </c>
      <c r="M42" s="393"/>
    </row>
    <row r="43" spans="1:13" ht="15.75" x14ac:dyDescent="0.25">
      <c r="A43" s="363"/>
      <c r="B43" s="405"/>
      <c r="C43" s="411"/>
      <c r="D43" s="400"/>
      <c r="E43" s="401"/>
      <c r="F43" s="389"/>
      <c r="G43" s="390"/>
      <c r="H43" s="391"/>
      <c r="I43" s="196"/>
      <c r="J43" s="185"/>
      <c r="K43" s="197"/>
      <c r="L43" s="396"/>
      <c r="M43" s="397"/>
    </row>
    <row r="44" spans="1:13" ht="12" customHeight="1" x14ac:dyDescent="0.2">
      <c r="A44" s="363"/>
      <c r="B44" s="410" t="s">
        <v>196</v>
      </c>
      <c r="C44" s="398"/>
      <c r="D44" s="398"/>
      <c r="E44" s="399"/>
      <c r="F44" s="383"/>
      <c r="G44" s="384"/>
      <c r="H44" s="385"/>
      <c r="I44" s="429">
        <v>0.09</v>
      </c>
      <c r="J44" s="430"/>
      <c r="K44" s="431"/>
      <c r="L44" s="392">
        <f>L42*I44</f>
        <v>27.977226768000008</v>
      </c>
      <c r="M44" s="393"/>
    </row>
    <row r="45" spans="1:13" ht="12.75" customHeight="1" x14ac:dyDescent="0.2">
      <c r="A45" s="363"/>
      <c r="B45" s="412"/>
      <c r="C45" s="413"/>
      <c r="D45" s="413"/>
      <c r="E45" s="414"/>
      <c r="F45" s="386"/>
      <c r="G45" s="387"/>
      <c r="H45" s="388"/>
      <c r="I45" s="432"/>
      <c r="J45" s="433"/>
      <c r="K45" s="434"/>
      <c r="L45" s="394"/>
      <c r="M45" s="395"/>
    </row>
    <row r="46" spans="1:13" ht="12.75" customHeight="1" x14ac:dyDescent="0.2">
      <c r="A46" s="363"/>
      <c r="B46" s="411"/>
      <c r="C46" s="400"/>
      <c r="D46" s="400"/>
      <c r="E46" s="401"/>
      <c r="F46" s="389"/>
      <c r="G46" s="390"/>
      <c r="H46" s="391"/>
      <c r="I46" s="435"/>
      <c r="J46" s="436"/>
      <c r="K46" s="437"/>
      <c r="L46" s="396"/>
      <c r="M46" s="397"/>
    </row>
    <row r="47" spans="1:13" ht="15.75" x14ac:dyDescent="0.25">
      <c r="A47" s="364"/>
      <c r="B47" s="359" t="s">
        <v>184</v>
      </c>
      <c r="C47" s="360"/>
      <c r="D47" s="360"/>
      <c r="E47" s="360"/>
      <c r="F47" s="201"/>
      <c r="G47" s="201"/>
      <c r="H47" s="208"/>
      <c r="I47" s="185"/>
      <c r="J47" s="185"/>
      <c r="K47" s="197"/>
      <c r="L47" s="438">
        <f>L42+L44</f>
        <v>338.83530196800007</v>
      </c>
      <c r="M47" s="439"/>
    </row>
    <row r="48" spans="1:13" ht="15.75" customHeight="1" x14ac:dyDescent="0.25">
      <c r="A48" s="410">
        <v>3</v>
      </c>
      <c r="B48" s="410" t="s">
        <v>197</v>
      </c>
      <c r="C48" s="398"/>
      <c r="D48" s="398"/>
      <c r="E48" s="399"/>
      <c r="F48" s="440" t="s">
        <v>198</v>
      </c>
      <c r="G48" s="441"/>
      <c r="H48" s="442"/>
      <c r="I48" s="200"/>
      <c r="J48" s="200"/>
      <c r="K48" s="190"/>
      <c r="L48" s="203"/>
      <c r="M48" s="204"/>
    </row>
    <row r="49" spans="1:13" ht="15.75" customHeight="1" x14ac:dyDescent="0.25">
      <c r="A49" s="412"/>
      <c r="B49" s="411"/>
      <c r="C49" s="400"/>
      <c r="D49" s="400"/>
      <c r="E49" s="401"/>
      <c r="F49" s="443"/>
      <c r="G49" s="444"/>
      <c r="H49" s="445"/>
      <c r="I49" s="200"/>
      <c r="J49" s="200"/>
      <c r="K49" s="190"/>
      <c r="L49" s="203"/>
      <c r="M49" s="204"/>
    </row>
    <row r="50" spans="1:13" ht="15.75" x14ac:dyDescent="0.25">
      <c r="A50" s="412"/>
      <c r="B50" s="193" t="s">
        <v>168</v>
      </c>
      <c r="C50" s="193">
        <v>1</v>
      </c>
      <c r="D50" s="427" t="s">
        <v>76</v>
      </c>
      <c r="E50" s="428"/>
      <c r="F50" s="443"/>
      <c r="G50" s="444"/>
      <c r="H50" s="445"/>
      <c r="I50" s="200"/>
      <c r="J50" s="200"/>
      <c r="K50" s="190"/>
      <c r="L50" s="203"/>
      <c r="M50" s="204"/>
    </row>
    <row r="51" spans="1:13" ht="15.75" x14ac:dyDescent="0.25">
      <c r="A51" s="412"/>
      <c r="B51" s="193"/>
      <c r="C51" s="193">
        <f>C33</f>
        <v>8.0000000000000004E-4</v>
      </c>
      <c r="D51" s="427" t="s">
        <v>99</v>
      </c>
      <c r="E51" s="428"/>
      <c r="F51" s="443"/>
      <c r="G51" s="444"/>
      <c r="H51" s="445"/>
      <c r="I51" s="200"/>
      <c r="J51" s="200"/>
      <c r="K51" s="190"/>
      <c r="L51" s="203"/>
      <c r="M51" s="204"/>
    </row>
    <row r="52" spans="1:13" ht="15.75" x14ac:dyDescent="0.25">
      <c r="A52" s="412"/>
      <c r="B52" s="193"/>
      <c r="C52" s="193">
        <v>0</v>
      </c>
      <c r="D52" s="427" t="s">
        <v>169</v>
      </c>
      <c r="E52" s="428"/>
      <c r="F52" s="443"/>
      <c r="G52" s="444"/>
      <c r="H52" s="445"/>
      <c r="I52" s="200"/>
      <c r="J52" s="200"/>
      <c r="K52" s="190"/>
      <c r="L52" s="203"/>
      <c r="M52" s="204"/>
    </row>
    <row r="53" spans="1:13" ht="15.75" x14ac:dyDescent="0.25">
      <c r="A53" s="412"/>
      <c r="B53" s="193"/>
      <c r="C53" s="193">
        <v>0</v>
      </c>
      <c r="D53" s="427" t="s">
        <v>170</v>
      </c>
      <c r="E53" s="428"/>
      <c r="F53" s="443"/>
      <c r="G53" s="444"/>
      <c r="H53" s="445"/>
      <c r="I53" s="200"/>
      <c r="J53" s="200"/>
      <c r="K53" s="190"/>
      <c r="L53" s="203"/>
      <c r="M53" s="204"/>
    </row>
    <row r="54" spans="1:13" ht="15.75" x14ac:dyDescent="0.25">
      <c r="A54" s="412"/>
      <c r="B54" s="193" t="s">
        <v>171</v>
      </c>
      <c r="C54" s="193">
        <v>355</v>
      </c>
      <c r="D54" s="449" t="s">
        <v>172</v>
      </c>
      <c r="E54" s="450"/>
      <c r="F54" s="443"/>
      <c r="G54" s="444"/>
      <c r="H54" s="445"/>
      <c r="I54" s="419" t="s">
        <v>199</v>
      </c>
      <c r="J54" s="451"/>
      <c r="K54" s="421"/>
      <c r="L54" s="394">
        <f>C54*C56*C57*C58*C59*C60*C50</f>
        <v>42.753359999999958</v>
      </c>
      <c r="M54" s="395"/>
    </row>
    <row r="55" spans="1:13" ht="15.75" x14ac:dyDescent="0.25">
      <c r="A55" s="412"/>
      <c r="B55" s="193" t="s">
        <v>174</v>
      </c>
      <c r="C55" s="193">
        <v>22</v>
      </c>
      <c r="D55" s="449" t="s">
        <v>172</v>
      </c>
      <c r="E55" s="450"/>
      <c r="F55" s="443"/>
      <c r="G55" s="444"/>
      <c r="H55" s="445"/>
      <c r="I55" s="419" t="s">
        <v>200</v>
      </c>
      <c r="J55" s="451"/>
      <c r="K55" s="421"/>
      <c r="L55" s="394">
        <f>C55*C62*C61*C63*(C51+C52+C53)</f>
        <v>2.8160000000000004E-2</v>
      </c>
      <c r="M55" s="395"/>
    </row>
    <row r="56" spans="1:13" ht="15.75" x14ac:dyDescent="0.25">
      <c r="A56" s="412"/>
      <c r="B56" s="205" t="s">
        <v>201</v>
      </c>
      <c r="C56" s="205">
        <f>1+0.15*(1-1)</f>
        <v>1</v>
      </c>
      <c r="D56" s="424" t="s">
        <v>202</v>
      </c>
      <c r="E56" s="425"/>
      <c r="F56" s="443"/>
      <c r="G56" s="444"/>
      <c r="H56" s="445"/>
      <c r="I56" s="200"/>
      <c r="J56" s="200"/>
      <c r="K56" s="190"/>
      <c r="L56" s="203"/>
      <c r="M56" s="204"/>
    </row>
    <row r="57" spans="1:13" ht="15.75" x14ac:dyDescent="0.25">
      <c r="A57" s="412"/>
      <c r="B57" s="205" t="s">
        <v>176</v>
      </c>
      <c r="C57" s="205">
        <f>1-0.45*(2-(C51+C52+C53))</f>
        <v>0.10035999999999989</v>
      </c>
      <c r="D57" s="424" t="s">
        <v>203</v>
      </c>
      <c r="E57" s="425"/>
      <c r="F57" s="443"/>
      <c r="G57" s="444"/>
      <c r="H57" s="445"/>
      <c r="I57" s="200"/>
      <c r="J57" s="200"/>
      <c r="K57" s="190"/>
      <c r="L57" s="203"/>
      <c r="M57" s="204"/>
    </row>
    <row r="58" spans="1:13" ht="15.75" x14ac:dyDescent="0.25">
      <c r="A58" s="412"/>
      <c r="B58" s="205" t="s">
        <v>178</v>
      </c>
      <c r="C58" s="205">
        <f>1+0.05*0</f>
        <v>1</v>
      </c>
      <c r="D58" s="424" t="s">
        <v>204</v>
      </c>
      <c r="E58" s="425"/>
      <c r="F58" s="443"/>
      <c r="G58" s="444"/>
      <c r="H58" s="445"/>
      <c r="I58" s="200"/>
      <c r="J58" s="200"/>
      <c r="K58" s="190"/>
      <c r="L58" s="203"/>
      <c r="M58" s="204"/>
    </row>
    <row r="59" spans="1:13" ht="15.75" x14ac:dyDescent="0.25">
      <c r="A59" s="412"/>
      <c r="B59" s="205" t="s">
        <v>205</v>
      </c>
      <c r="C59" s="205">
        <f>1+0.1*0</f>
        <v>1</v>
      </c>
      <c r="D59" s="424" t="s">
        <v>206</v>
      </c>
      <c r="E59" s="425"/>
      <c r="F59" s="443"/>
      <c r="G59" s="444"/>
      <c r="H59" s="445"/>
      <c r="I59" s="200"/>
      <c r="J59" s="200"/>
      <c r="K59" s="190"/>
      <c r="L59" s="203"/>
      <c r="M59" s="204"/>
    </row>
    <row r="60" spans="1:13" ht="15.75" customHeight="1" x14ac:dyDescent="0.25">
      <c r="A60" s="412"/>
      <c r="B60" s="193" t="s">
        <v>192</v>
      </c>
      <c r="C60" s="193">
        <f>1+0.1*(3-1)</f>
        <v>1.2</v>
      </c>
      <c r="D60" s="424" t="s">
        <v>193</v>
      </c>
      <c r="E60" s="425"/>
      <c r="F60" s="443"/>
      <c r="G60" s="444"/>
      <c r="H60" s="445"/>
      <c r="I60" s="200"/>
      <c r="J60" s="200"/>
      <c r="K60" s="190"/>
      <c r="L60" s="203"/>
      <c r="M60" s="204"/>
    </row>
    <row r="61" spans="1:13" ht="15.75" x14ac:dyDescent="0.25">
      <c r="A61" s="412"/>
      <c r="B61" s="205" t="s">
        <v>180</v>
      </c>
      <c r="C61" s="209">
        <f>1+0.1*(5-5)</f>
        <v>1</v>
      </c>
      <c r="D61" s="424" t="s">
        <v>207</v>
      </c>
      <c r="E61" s="425"/>
      <c r="F61" s="443"/>
      <c r="G61" s="444"/>
      <c r="H61" s="445"/>
      <c r="I61" s="210"/>
      <c r="J61" s="200"/>
      <c r="K61" s="190"/>
      <c r="L61" s="211"/>
      <c r="M61" s="204"/>
    </row>
    <row r="62" spans="1:13" ht="15.75" x14ac:dyDescent="0.25">
      <c r="A62" s="412"/>
      <c r="B62" s="205" t="s">
        <v>208</v>
      </c>
      <c r="C62" s="193">
        <f>1+0.1*0</f>
        <v>1</v>
      </c>
      <c r="D62" s="424" t="s">
        <v>206</v>
      </c>
      <c r="E62" s="425"/>
      <c r="F62" s="443"/>
      <c r="G62" s="444"/>
      <c r="H62" s="445"/>
      <c r="K62" s="133"/>
      <c r="L62" s="212"/>
      <c r="M62" s="213"/>
    </row>
    <row r="63" spans="1:13" ht="15.75" customHeight="1" x14ac:dyDescent="0.25">
      <c r="A63" s="412"/>
      <c r="B63" s="205" t="s">
        <v>209</v>
      </c>
      <c r="C63" s="193">
        <v>1.6</v>
      </c>
      <c r="D63" s="424" t="s">
        <v>210</v>
      </c>
      <c r="E63" s="425"/>
      <c r="F63" s="446"/>
      <c r="G63" s="447"/>
      <c r="H63" s="448"/>
      <c r="I63" s="214"/>
      <c r="J63" s="215"/>
      <c r="K63" s="130"/>
      <c r="L63" s="212"/>
      <c r="M63" s="216"/>
    </row>
    <row r="64" spans="1:13" ht="15.75" x14ac:dyDescent="0.25">
      <c r="A64" s="412"/>
      <c r="B64" s="404">
        <v>1.99</v>
      </c>
      <c r="C64" s="398" t="s">
        <v>182</v>
      </c>
      <c r="D64" s="398"/>
      <c r="E64" s="399"/>
      <c r="F64" s="383" t="s">
        <v>183</v>
      </c>
      <c r="G64" s="384"/>
      <c r="H64" s="385"/>
      <c r="I64" s="200"/>
      <c r="J64" s="200"/>
      <c r="K64" s="190"/>
      <c r="L64" s="392">
        <f>(L54+L55)*B64</f>
        <v>85.135224799999918</v>
      </c>
      <c r="M64" s="393"/>
    </row>
    <row r="65" spans="1:13" ht="15.75" x14ac:dyDescent="0.25">
      <c r="A65" s="412"/>
      <c r="B65" s="405"/>
      <c r="C65" s="400"/>
      <c r="D65" s="400"/>
      <c r="E65" s="401"/>
      <c r="F65" s="389"/>
      <c r="G65" s="390"/>
      <c r="H65" s="391"/>
      <c r="I65" s="196"/>
      <c r="J65" s="185"/>
      <c r="K65" s="197"/>
      <c r="L65" s="396"/>
      <c r="M65" s="397"/>
    </row>
    <row r="66" spans="1:13" ht="15.75" x14ac:dyDescent="0.25">
      <c r="A66" s="411"/>
      <c r="B66" s="359" t="s">
        <v>184</v>
      </c>
      <c r="C66" s="360"/>
      <c r="D66" s="360"/>
      <c r="E66" s="360"/>
      <c r="F66" s="208"/>
      <c r="G66" s="201"/>
      <c r="H66" s="201"/>
      <c r="I66" s="201"/>
      <c r="J66" s="201"/>
      <c r="K66" s="202"/>
      <c r="L66" s="438">
        <f>L64</f>
        <v>85.135224799999918</v>
      </c>
      <c r="M66" s="439"/>
    </row>
    <row r="67" spans="1:13" ht="11.25" customHeight="1" x14ac:dyDescent="0.25">
      <c r="A67" s="362">
        <v>4</v>
      </c>
      <c r="B67" s="410" t="s">
        <v>211</v>
      </c>
      <c r="C67" s="398"/>
      <c r="D67" s="398"/>
      <c r="E67" s="399"/>
      <c r="F67" s="410" t="s">
        <v>212</v>
      </c>
      <c r="G67" s="413"/>
      <c r="H67" s="414"/>
      <c r="I67" s="38"/>
      <c r="J67" s="38"/>
      <c r="K67" s="190"/>
      <c r="L67" s="191"/>
      <c r="M67" s="192"/>
    </row>
    <row r="68" spans="1:13" ht="11.25" customHeight="1" x14ac:dyDescent="0.25">
      <c r="A68" s="363"/>
      <c r="B68" s="411"/>
      <c r="C68" s="400"/>
      <c r="D68" s="400"/>
      <c r="E68" s="401"/>
      <c r="F68" s="412"/>
      <c r="G68" s="426"/>
      <c r="H68" s="414"/>
      <c r="I68" s="38"/>
      <c r="J68" s="38"/>
      <c r="K68" s="190"/>
      <c r="L68" s="191"/>
      <c r="M68" s="192"/>
    </row>
    <row r="69" spans="1:13" ht="15.75" x14ac:dyDescent="0.25">
      <c r="A69" s="363"/>
      <c r="B69" s="193" t="s">
        <v>168</v>
      </c>
      <c r="C69" s="193">
        <v>1</v>
      </c>
      <c r="D69" s="427" t="s">
        <v>76</v>
      </c>
      <c r="E69" s="428"/>
      <c r="F69" s="412"/>
      <c r="G69" s="426"/>
      <c r="H69" s="414"/>
      <c r="I69" s="38"/>
      <c r="J69" s="38"/>
      <c r="K69" s="190"/>
      <c r="L69" s="191"/>
      <c r="M69" s="192"/>
    </row>
    <row r="70" spans="1:13" ht="15.75" x14ac:dyDescent="0.25">
      <c r="A70" s="363"/>
      <c r="B70" s="193"/>
      <c r="C70" s="193">
        <f>(1000*2+8*2)/1000</f>
        <v>2.016</v>
      </c>
      <c r="D70" s="427" t="s">
        <v>213</v>
      </c>
      <c r="E70" s="428"/>
      <c r="F70" s="412"/>
      <c r="G70" s="426"/>
      <c r="H70" s="414"/>
      <c r="I70" s="38"/>
      <c r="J70" s="38"/>
      <c r="K70" s="190"/>
      <c r="L70" s="191"/>
      <c r="M70" s="192"/>
    </row>
    <row r="71" spans="1:13" ht="15.75" x14ac:dyDescent="0.25">
      <c r="A71" s="363"/>
      <c r="B71" s="193"/>
      <c r="C71" s="193">
        <v>0</v>
      </c>
      <c r="D71" s="427" t="s">
        <v>214</v>
      </c>
      <c r="E71" s="428"/>
      <c r="F71" s="412"/>
      <c r="G71" s="426"/>
      <c r="H71" s="414"/>
      <c r="I71" s="38"/>
      <c r="J71" s="38"/>
      <c r="K71" s="190"/>
      <c r="L71" s="191"/>
      <c r="M71" s="192"/>
    </row>
    <row r="72" spans="1:13" ht="15.75" x14ac:dyDescent="0.25">
      <c r="A72" s="363"/>
      <c r="B72" s="193"/>
      <c r="C72" s="193">
        <v>0</v>
      </c>
      <c r="D72" s="427" t="s">
        <v>215</v>
      </c>
      <c r="E72" s="428"/>
      <c r="F72" s="412"/>
      <c r="G72" s="426"/>
      <c r="H72" s="414"/>
      <c r="I72" s="38"/>
      <c r="J72" s="38"/>
      <c r="K72" s="190"/>
      <c r="L72" s="191"/>
      <c r="M72" s="192"/>
    </row>
    <row r="73" spans="1:13" ht="15.75" x14ac:dyDescent="0.25">
      <c r="A73" s="363"/>
      <c r="B73" s="193" t="s">
        <v>171</v>
      </c>
      <c r="C73" s="193">
        <v>882</v>
      </c>
      <c r="D73" s="424" t="s">
        <v>172</v>
      </c>
      <c r="E73" s="425"/>
      <c r="F73" s="412"/>
      <c r="G73" s="426"/>
      <c r="H73" s="414"/>
      <c r="I73" s="419" t="s">
        <v>216</v>
      </c>
      <c r="J73" s="420"/>
      <c r="K73" s="421"/>
      <c r="L73" s="402">
        <f>C73*C69*C75</f>
        <v>211.96223999999998</v>
      </c>
      <c r="M73" s="403"/>
    </row>
    <row r="74" spans="1:13" ht="15.75" x14ac:dyDescent="0.25">
      <c r="A74" s="363"/>
      <c r="B74" s="209" t="s">
        <v>174</v>
      </c>
      <c r="C74" s="209">
        <v>11</v>
      </c>
      <c r="D74" s="423" t="s">
        <v>172</v>
      </c>
      <c r="E74" s="418"/>
      <c r="F74" s="412"/>
      <c r="G74" s="426"/>
      <c r="H74" s="414"/>
      <c r="I74" s="419" t="s">
        <v>217</v>
      </c>
      <c r="J74" s="420"/>
      <c r="K74" s="421"/>
      <c r="L74" s="402">
        <f>C74*C76*C77*C78*(C70+C71+C72)</f>
        <v>47.90016</v>
      </c>
      <c r="M74" s="403"/>
    </row>
    <row r="75" spans="1:13" ht="15.75" x14ac:dyDescent="0.25">
      <c r="A75" s="363"/>
      <c r="B75" s="193" t="s">
        <v>176</v>
      </c>
      <c r="C75" s="193">
        <f>1-0.02*(40-(C70+C71+C72))</f>
        <v>0.24031999999999998</v>
      </c>
      <c r="D75" s="424" t="s">
        <v>218</v>
      </c>
      <c r="E75" s="425"/>
      <c r="F75" s="412"/>
      <c r="G75" s="426"/>
      <c r="H75" s="414"/>
      <c r="I75" s="38"/>
      <c r="J75" s="38"/>
      <c r="K75" s="190"/>
      <c r="L75" s="191"/>
      <c r="M75" s="192"/>
    </row>
    <row r="76" spans="1:13" ht="15.75" x14ac:dyDescent="0.25">
      <c r="A76" s="363"/>
      <c r="B76" s="193" t="s">
        <v>194</v>
      </c>
      <c r="C76" s="193">
        <f>1+0.05*(5-1)</f>
        <v>1.2</v>
      </c>
      <c r="D76" s="424" t="s">
        <v>219</v>
      </c>
      <c r="E76" s="425"/>
      <c r="F76" s="412"/>
      <c r="G76" s="426"/>
      <c r="H76" s="414"/>
      <c r="I76" s="38"/>
      <c r="J76" s="38"/>
      <c r="K76" s="190"/>
      <c r="L76" s="191"/>
      <c r="M76" s="192"/>
    </row>
    <row r="77" spans="1:13" ht="15.75" x14ac:dyDescent="0.25">
      <c r="A77" s="363"/>
      <c r="B77" s="193" t="s">
        <v>208</v>
      </c>
      <c r="C77" s="193">
        <f>1+0.1*(3-1)</f>
        <v>1.2</v>
      </c>
      <c r="D77" s="424" t="s">
        <v>220</v>
      </c>
      <c r="E77" s="425"/>
      <c r="F77" s="412"/>
      <c r="G77" s="426"/>
      <c r="H77" s="414"/>
      <c r="I77" s="38"/>
      <c r="J77" s="38"/>
      <c r="K77" s="190"/>
      <c r="L77" s="191"/>
      <c r="M77" s="192"/>
    </row>
    <row r="78" spans="1:13" ht="15.75" x14ac:dyDescent="0.25">
      <c r="A78" s="363"/>
      <c r="B78" s="195" t="s">
        <v>221</v>
      </c>
      <c r="C78" s="195">
        <v>1.5</v>
      </c>
      <c r="D78" s="424" t="s">
        <v>222</v>
      </c>
      <c r="E78" s="425"/>
      <c r="F78" s="411"/>
      <c r="G78" s="400"/>
      <c r="H78" s="401"/>
      <c r="I78" s="196"/>
      <c r="J78" s="185"/>
      <c r="K78" s="197"/>
      <c r="L78" s="198"/>
      <c r="M78" s="199"/>
    </row>
    <row r="79" spans="1:13" ht="15.75" x14ac:dyDescent="0.25">
      <c r="A79" s="363"/>
      <c r="B79" s="404">
        <v>2.2200000000000002</v>
      </c>
      <c r="C79" s="398" t="s">
        <v>182</v>
      </c>
      <c r="D79" s="398"/>
      <c r="E79" s="399"/>
      <c r="F79" s="383" t="s">
        <v>183</v>
      </c>
      <c r="G79" s="384"/>
      <c r="H79" s="385"/>
      <c r="I79" s="38"/>
      <c r="J79" s="38"/>
      <c r="K79" s="190"/>
      <c r="L79" s="392">
        <f>(L73+L74)*B79</f>
        <v>576.89452800000004</v>
      </c>
      <c r="M79" s="393"/>
    </row>
    <row r="80" spans="1:13" ht="15.75" x14ac:dyDescent="0.25">
      <c r="A80" s="363"/>
      <c r="B80" s="405"/>
      <c r="C80" s="400"/>
      <c r="D80" s="400"/>
      <c r="E80" s="401"/>
      <c r="F80" s="389"/>
      <c r="G80" s="390"/>
      <c r="H80" s="391"/>
      <c r="I80" s="196"/>
      <c r="J80" s="185"/>
      <c r="K80" s="197"/>
      <c r="L80" s="396"/>
      <c r="M80" s="397"/>
    </row>
    <row r="81" spans="1:13" ht="12" customHeight="1" x14ac:dyDescent="0.2">
      <c r="A81" s="363"/>
      <c r="B81" s="410" t="s">
        <v>196</v>
      </c>
      <c r="C81" s="398"/>
      <c r="D81" s="398"/>
      <c r="E81" s="399"/>
      <c r="F81" s="383"/>
      <c r="G81" s="384"/>
      <c r="H81" s="385"/>
      <c r="I81" s="429">
        <v>0.09</v>
      </c>
      <c r="J81" s="430"/>
      <c r="K81" s="431"/>
      <c r="L81" s="392">
        <f>L79*I81</f>
        <v>51.920507520000001</v>
      </c>
      <c r="M81" s="393"/>
    </row>
    <row r="82" spans="1:13" ht="12.75" customHeight="1" x14ac:dyDescent="0.2">
      <c r="A82" s="363"/>
      <c r="B82" s="412"/>
      <c r="C82" s="413"/>
      <c r="D82" s="413"/>
      <c r="E82" s="414"/>
      <c r="F82" s="386"/>
      <c r="G82" s="387"/>
      <c r="H82" s="388"/>
      <c r="I82" s="432"/>
      <c r="J82" s="433"/>
      <c r="K82" s="434"/>
      <c r="L82" s="394"/>
      <c r="M82" s="395"/>
    </row>
    <row r="83" spans="1:13" ht="12.75" customHeight="1" x14ac:dyDescent="0.2">
      <c r="A83" s="363"/>
      <c r="B83" s="411"/>
      <c r="C83" s="400"/>
      <c r="D83" s="400"/>
      <c r="E83" s="401"/>
      <c r="F83" s="389"/>
      <c r="G83" s="390"/>
      <c r="H83" s="391"/>
      <c r="I83" s="435"/>
      <c r="J83" s="436"/>
      <c r="K83" s="437"/>
      <c r="L83" s="396"/>
      <c r="M83" s="397"/>
    </row>
    <row r="84" spans="1:13" ht="15.75" x14ac:dyDescent="0.25">
      <c r="A84" s="364"/>
      <c r="B84" s="359" t="s">
        <v>184</v>
      </c>
      <c r="C84" s="360"/>
      <c r="D84" s="360"/>
      <c r="E84" s="360"/>
      <c r="F84" s="201"/>
      <c r="G84" s="201"/>
      <c r="H84" s="208"/>
      <c r="I84" s="185"/>
      <c r="J84" s="185"/>
      <c r="K84" s="197"/>
      <c r="L84" s="438">
        <f>L79+L81</f>
        <v>628.81503552000004</v>
      </c>
      <c r="M84" s="439"/>
    </row>
    <row r="85" spans="1:13" ht="15.75" x14ac:dyDescent="0.25">
      <c r="A85" s="362">
        <v>5</v>
      </c>
      <c r="B85" s="410" t="s">
        <v>223</v>
      </c>
      <c r="C85" s="398"/>
      <c r="D85" s="398"/>
      <c r="E85" s="399"/>
      <c r="F85" s="410" t="s">
        <v>224</v>
      </c>
      <c r="G85" s="398"/>
      <c r="H85" s="399"/>
      <c r="I85" s="38"/>
      <c r="J85" s="38"/>
      <c r="K85" s="190"/>
      <c r="L85" s="191"/>
      <c r="M85" s="192"/>
    </row>
    <row r="86" spans="1:13" ht="15.75" x14ac:dyDescent="0.25">
      <c r="A86" s="363"/>
      <c r="B86" s="411"/>
      <c r="C86" s="400"/>
      <c r="D86" s="400"/>
      <c r="E86" s="401"/>
      <c r="F86" s="412"/>
      <c r="G86" s="413"/>
      <c r="H86" s="414"/>
      <c r="I86" s="38"/>
      <c r="J86" s="38"/>
      <c r="K86" s="190"/>
      <c r="L86" s="191"/>
      <c r="M86" s="192"/>
    </row>
    <row r="87" spans="1:13" ht="15.75" x14ac:dyDescent="0.25">
      <c r="A87" s="363"/>
      <c r="B87" s="205" t="s">
        <v>168</v>
      </c>
      <c r="C87" s="205">
        <v>1</v>
      </c>
      <c r="D87" s="415" t="s">
        <v>225</v>
      </c>
      <c r="E87" s="416"/>
      <c r="F87" s="412"/>
      <c r="G87" s="413"/>
      <c r="H87" s="414"/>
      <c r="I87" s="38"/>
      <c r="J87" s="38"/>
      <c r="K87" s="190"/>
      <c r="L87" s="191"/>
      <c r="M87" s="192"/>
    </row>
    <row r="88" spans="1:13" ht="15.75" x14ac:dyDescent="0.25">
      <c r="A88" s="363"/>
      <c r="B88" s="209"/>
      <c r="C88" s="209"/>
      <c r="D88" s="38"/>
      <c r="E88" s="190"/>
      <c r="F88" s="412"/>
      <c r="G88" s="413"/>
      <c r="H88" s="414"/>
      <c r="I88" s="38"/>
      <c r="J88" s="38"/>
      <c r="K88" s="190"/>
      <c r="L88" s="191"/>
      <c r="M88" s="192"/>
    </row>
    <row r="89" spans="1:13" ht="15.75" x14ac:dyDescent="0.25">
      <c r="A89" s="363"/>
      <c r="B89" s="209"/>
      <c r="C89" s="209">
        <v>200</v>
      </c>
      <c r="D89" s="417" t="s">
        <v>172</v>
      </c>
      <c r="E89" s="418"/>
      <c r="F89" s="412"/>
      <c r="G89" s="413"/>
      <c r="H89" s="414"/>
      <c r="I89" s="419" t="s">
        <v>226</v>
      </c>
      <c r="J89" s="420"/>
      <c r="K89" s="421"/>
      <c r="L89" s="402">
        <f>C89*C87</f>
        <v>200</v>
      </c>
      <c r="M89" s="403"/>
    </row>
    <row r="90" spans="1:13" ht="15.75" x14ac:dyDescent="0.25">
      <c r="A90" s="363"/>
      <c r="B90" s="195"/>
      <c r="C90" s="195"/>
      <c r="D90" s="185"/>
      <c r="E90" s="197"/>
      <c r="F90" s="411"/>
      <c r="G90" s="400"/>
      <c r="H90" s="401"/>
      <c r="I90" s="196"/>
      <c r="J90" s="185"/>
      <c r="K90" s="197"/>
      <c r="L90" s="198"/>
      <c r="M90" s="199"/>
    </row>
    <row r="91" spans="1:13" ht="15.75" x14ac:dyDescent="0.2">
      <c r="A91" s="363"/>
      <c r="B91" s="404">
        <v>1</v>
      </c>
      <c r="C91" s="398" t="s">
        <v>182</v>
      </c>
      <c r="D91" s="398"/>
      <c r="E91" s="399"/>
      <c r="F91" s="383" t="s">
        <v>183</v>
      </c>
      <c r="G91" s="384"/>
      <c r="H91" s="385"/>
      <c r="I91" s="217"/>
      <c r="J91" s="217"/>
      <c r="K91" s="218"/>
      <c r="L91" s="406">
        <f>L89*B91</f>
        <v>200</v>
      </c>
      <c r="M91" s="407"/>
    </row>
    <row r="92" spans="1:13" ht="15.75" x14ac:dyDescent="0.2">
      <c r="A92" s="363"/>
      <c r="B92" s="405"/>
      <c r="C92" s="400"/>
      <c r="D92" s="400"/>
      <c r="E92" s="401"/>
      <c r="F92" s="389"/>
      <c r="G92" s="390"/>
      <c r="H92" s="391"/>
      <c r="I92" s="219"/>
      <c r="J92" s="220"/>
      <c r="K92" s="221"/>
      <c r="L92" s="408"/>
      <c r="M92" s="409"/>
    </row>
    <row r="93" spans="1:13" ht="15.75" x14ac:dyDescent="0.25">
      <c r="A93" s="364"/>
      <c r="B93" s="422" t="s">
        <v>184</v>
      </c>
      <c r="C93" s="360"/>
      <c r="D93" s="360"/>
      <c r="E93" s="360"/>
      <c r="F93" s="201"/>
      <c r="G93" s="201"/>
      <c r="H93" s="201"/>
      <c r="I93" s="201"/>
      <c r="J93" s="185"/>
      <c r="K93" s="197"/>
      <c r="L93" s="357">
        <f>L91</f>
        <v>200</v>
      </c>
      <c r="M93" s="358"/>
    </row>
    <row r="94" spans="1:13" ht="15.75" x14ac:dyDescent="0.25">
      <c r="A94" s="187">
        <v>6</v>
      </c>
      <c r="B94" s="359" t="s">
        <v>227</v>
      </c>
      <c r="C94" s="360"/>
      <c r="D94" s="360"/>
      <c r="E94" s="360"/>
      <c r="F94" s="360"/>
      <c r="G94" s="360"/>
      <c r="H94" s="360"/>
      <c r="I94" s="360"/>
      <c r="J94" s="360"/>
      <c r="K94" s="361"/>
      <c r="L94" s="357">
        <f>L93+L84+L66+L47+L29</f>
        <v>1264.0260677996803</v>
      </c>
      <c r="M94" s="358"/>
    </row>
    <row r="95" spans="1:13" x14ac:dyDescent="0.2">
      <c r="A95" s="362">
        <v>7</v>
      </c>
      <c r="B95" s="365" t="s">
        <v>152</v>
      </c>
      <c r="C95" s="366"/>
      <c r="D95" s="366"/>
      <c r="E95" s="367"/>
      <c r="F95" s="374" t="s">
        <v>134</v>
      </c>
      <c r="G95" s="375"/>
      <c r="H95" s="376"/>
      <c r="I95" s="383">
        <v>15.505899277999999</v>
      </c>
      <c r="J95" s="384"/>
      <c r="K95" s="385"/>
      <c r="L95" s="392">
        <f>ROUND(L94*I95,0)</f>
        <v>19600</v>
      </c>
      <c r="M95" s="393"/>
    </row>
    <row r="96" spans="1:13" x14ac:dyDescent="0.2">
      <c r="A96" s="363"/>
      <c r="B96" s="368"/>
      <c r="C96" s="369"/>
      <c r="D96" s="369"/>
      <c r="E96" s="370"/>
      <c r="F96" s="377"/>
      <c r="G96" s="378"/>
      <c r="H96" s="379"/>
      <c r="I96" s="386"/>
      <c r="J96" s="387"/>
      <c r="K96" s="388"/>
      <c r="L96" s="394"/>
      <c r="M96" s="395"/>
    </row>
    <row r="97" spans="1:17" ht="48" customHeight="1" x14ac:dyDescent="0.2">
      <c r="A97" s="364"/>
      <c r="B97" s="371"/>
      <c r="C97" s="372"/>
      <c r="D97" s="372"/>
      <c r="E97" s="373"/>
      <c r="F97" s="380"/>
      <c r="G97" s="381"/>
      <c r="H97" s="382"/>
      <c r="I97" s="389"/>
      <c r="J97" s="390"/>
      <c r="K97" s="391"/>
      <c r="L97" s="396"/>
      <c r="M97" s="397"/>
    </row>
    <row r="98" spans="1:17" ht="18.75" x14ac:dyDescent="0.3">
      <c r="A98" s="352" t="s">
        <v>228</v>
      </c>
      <c r="B98" s="353"/>
      <c r="C98" s="353"/>
      <c r="D98" s="353"/>
      <c r="E98" s="353"/>
      <c r="F98" s="353"/>
      <c r="G98" s="353"/>
      <c r="H98" s="353"/>
      <c r="I98" s="353"/>
      <c r="J98" s="353"/>
      <c r="K98" s="354"/>
      <c r="L98" s="355">
        <f>L95</f>
        <v>19600</v>
      </c>
      <c r="M98" s="356"/>
    </row>
    <row r="100" spans="1:17" s="38" customFormat="1" ht="15.75" x14ac:dyDescent="0.25">
      <c r="A100" s="39"/>
      <c r="C100" s="40"/>
      <c r="D100" s="41"/>
      <c r="E100" s="37"/>
      <c r="G100" s="37"/>
      <c r="K100" s="351"/>
      <c r="L100" s="351"/>
      <c r="M100" s="45"/>
      <c r="N100" s="30"/>
      <c r="O100" s="30"/>
      <c r="P100" s="30"/>
      <c r="Q100" s="30"/>
    </row>
    <row r="101" spans="1:17" s="38" customFormat="1" ht="15" customHeight="1" x14ac:dyDescent="0.25">
      <c r="A101" s="42"/>
      <c r="C101" s="42"/>
      <c r="D101" s="42"/>
      <c r="E101" s="37"/>
      <c r="G101" s="37"/>
      <c r="K101" s="42"/>
      <c r="M101" s="42"/>
      <c r="N101" s="42"/>
      <c r="O101" s="42"/>
      <c r="P101" s="42"/>
      <c r="Q101" s="42"/>
    </row>
    <row r="102" spans="1:17" s="38" customFormat="1" ht="18.75" customHeight="1" x14ac:dyDescent="0.25">
      <c r="A102" s="39"/>
      <c r="C102" s="43"/>
      <c r="D102" s="41"/>
      <c r="E102" s="37"/>
      <c r="G102" s="37"/>
      <c r="K102" s="350"/>
      <c r="L102" s="350"/>
      <c r="M102" s="46"/>
      <c r="N102" s="30"/>
      <c r="O102" s="30"/>
      <c r="P102" s="30"/>
      <c r="Q102" s="30"/>
    </row>
    <row r="103" spans="1:17" s="38" customFormat="1" ht="15" customHeight="1" x14ac:dyDescent="0.25">
      <c r="A103" s="42"/>
      <c r="C103" s="42"/>
      <c r="D103" s="42"/>
      <c r="E103" s="37"/>
      <c r="G103" s="37"/>
      <c r="K103" s="42"/>
      <c r="M103" s="42"/>
      <c r="N103" s="42"/>
      <c r="O103" s="42"/>
      <c r="P103" s="42"/>
      <c r="Q103" s="42"/>
    </row>
    <row r="104" spans="1:17" s="38" customFormat="1" ht="15.75" customHeight="1" x14ac:dyDescent="0.25">
      <c r="A104" s="39"/>
      <c r="C104" s="43"/>
      <c r="D104" s="41"/>
      <c r="E104" s="37"/>
      <c r="G104" s="37"/>
      <c r="K104" s="350"/>
      <c r="L104" s="350"/>
      <c r="M104" s="46"/>
      <c r="N104" s="30"/>
      <c r="O104" s="30"/>
      <c r="P104" s="30"/>
      <c r="Q104" s="30"/>
    </row>
    <row r="105" spans="1:17" s="38" customFormat="1" ht="15.75" x14ac:dyDescent="0.25">
      <c r="A105" s="41"/>
      <c r="C105" s="41"/>
      <c r="D105" s="41"/>
      <c r="E105" s="37"/>
      <c r="G105" s="37"/>
      <c r="K105" s="41"/>
      <c r="M105" s="30"/>
      <c r="N105" s="30"/>
      <c r="O105" s="30"/>
      <c r="P105" s="30"/>
      <c r="Q105" s="30"/>
    </row>
    <row r="106" spans="1:17" s="38" customFormat="1" ht="15" customHeight="1" x14ac:dyDescent="0.25">
      <c r="A106" s="39"/>
      <c r="C106" s="44"/>
      <c r="D106" s="41"/>
      <c r="E106" s="37"/>
      <c r="G106" s="37"/>
      <c r="K106" s="350"/>
      <c r="L106" s="350"/>
      <c r="M106" s="46"/>
      <c r="N106" s="30"/>
      <c r="O106" s="30"/>
      <c r="P106" s="30"/>
      <c r="Q106" s="30"/>
    </row>
    <row r="112" spans="1:17" ht="12.75" customHeight="1" x14ac:dyDescent="0.2"/>
    <row r="117" ht="12.75" customHeight="1" x14ac:dyDescent="0.2"/>
    <row r="118" ht="12.75" customHeight="1" x14ac:dyDescent="0.2"/>
    <row r="120" ht="12.75" customHeight="1" x14ac:dyDescent="0.2"/>
    <row r="122" ht="12.75" customHeight="1" x14ac:dyDescent="0.2"/>
    <row r="124" ht="12.75" customHeight="1" x14ac:dyDescent="0.2"/>
    <row r="127" ht="12.75" customHeight="1" x14ac:dyDescent="0.2"/>
  </sheetData>
  <mergeCells count="144">
    <mergeCell ref="A1:M1"/>
    <mergeCell ref="A3:M3"/>
    <mergeCell ref="A4:M4"/>
    <mergeCell ref="A16:A29"/>
    <mergeCell ref="B16:E17"/>
    <mergeCell ref="F16:H26"/>
    <mergeCell ref="D18:E18"/>
    <mergeCell ref="D19:E19"/>
    <mergeCell ref="D20:E20"/>
    <mergeCell ref="A6:M6"/>
    <mergeCell ref="A9:M9"/>
    <mergeCell ref="A10:M10"/>
    <mergeCell ref="A12:A14"/>
    <mergeCell ref="B12:E14"/>
    <mergeCell ref="F12:H14"/>
    <mergeCell ref="I12:K14"/>
    <mergeCell ref="L12:M14"/>
    <mergeCell ref="D21:E21"/>
    <mergeCell ref="D22:E22"/>
    <mergeCell ref="I22:K22"/>
    <mergeCell ref="L22:M22"/>
    <mergeCell ref="D23:E23"/>
    <mergeCell ref="I23:K23"/>
    <mergeCell ref="L23:M23"/>
    <mergeCell ref="B15:E15"/>
    <mergeCell ref="F15:H15"/>
    <mergeCell ref="I15:K15"/>
    <mergeCell ref="L15:M15"/>
    <mergeCell ref="L27:M28"/>
    <mergeCell ref="B29:E29"/>
    <mergeCell ref="L29:M29"/>
    <mergeCell ref="D24:E24"/>
    <mergeCell ref="D25:E25"/>
    <mergeCell ref="D26:E26"/>
    <mergeCell ref="B27:B28"/>
    <mergeCell ref="C27:E28"/>
    <mergeCell ref="F27:H28"/>
    <mergeCell ref="I36:K36"/>
    <mergeCell ref="L36:M36"/>
    <mergeCell ref="D37:E37"/>
    <mergeCell ref="I37:K37"/>
    <mergeCell ref="L37:M37"/>
    <mergeCell ref="D38:E38"/>
    <mergeCell ref="A30:A47"/>
    <mergeCell ref="B30:E31"/>
    <mergeCell ref="F30:H41"/>
    <mergeCell ref="D32:E32"/>
    <mergeCell ref="D33:E33"/>
    <mergeCell ref="D34:E34"/>
    <mergeCell ref="D35:E35"/>
    <mergeCell ref="D36:E36"/>
    <mergeCell ref="D39:E39"/>
    <mergeCell ref="D40:E40"/>
    <mergeCell ref="B44:E46"/>
    <mergeCell ref="F44:H46"/>
    <mergeCell ref="I44:K46"/>
    <mergeCell ref="L44:M46"/>
    <mergeCell ref="B47:E47"/>
    <mergeCell ref="L47:M47"/>
    <mergeCell ref="D41:E41"/>
    <mergeCell ref="B42:B43"/>
    <mergeCell ref="C42:E43"/>
    <mergeCell ref="F42:H43"/>
    <mergeCell ref="L42:M43"/>
    <mergeCell ref="I54:K54"/>
    <mergeCell ref="L54:M54"/>
    <mergeCell ref="D55:E55"/>
    <mergeCell ref="I55:K55"/>
    <mergeCell ref="L55:M55"/>
    <mergeCell ref="D56:E56"/>
    <mergeCell ref="A48:A66"/>
    <mergeCell ref="B48:E49"/>
    <mergeCell ref="F48:H63"/>
    <mergeCell ref="D50:E50"/>
    <mergeCell ref="D51:E51"/>
    <mergeCell ref="D52:E52"/>
    <mergeCell ref="D53:E53"/>
    <mergeCell ref="D54:E54"/>
    <mergeCell ref="D57:E57"/>
    <mergeCell ref="D58:E58"/>
    <mergeCell ref="F64:H65"/>
    <mergeCell ref="L64:M65"/>
    <mergeCell ref="B66:E66"/>
    <mergeCell ref="L66:M66"/>
    <mergeCell ref="D59:E59"/>
    <mergeCell ref="D60:E60"/>
    <mergeCell ref="D61:E61"/>
    <mergeCell ref="D62:E62"/>
    <mergeCell ref="D63:E63"/>
    <mergeCell ref="B64:B65"/>
    <mergeCell ref="C64:E65"/>
    <mergeCell ref="I73:K73"/>
    <mergeCell ref="L73:M73"/>
    <mergeCell ref="D74:E74"/>
    <mergeCell ref="I74:K74"/>
    <mergeCell ref="L74:M74"/>
    <mergeCell ref="D75:E75"/>
    <mergeCell ref="A67:A84"/>
    <mergeCell ref="B67:E68"/>
    <mergeCell ref="F67:H78"/>
    <mergeCell ref="D69:E69"/>
    <mergeCell ref="D70:E70"/>
    <mergeCell ref="D71:E71"/>
    <mergeCell ref="D72:E72"/>
    <mergeCell ref="D73:E73"/>
    <mergeCell ref="D76:E76"/>
    <mergeCell ref="D77:E77"/>
    <mergeCell ref="B81:E83"/>
    <mergeCell ref="F81:H83"/>
    <mergeCell ref="I81:K83"/>
    <mergeCell ref="L81:M83"/>
    <mergeCell ref="B84:E84"/>
    <mergeCell ref="L84:M84"/>
    <mergeCell ref="D78:E78"/>
    <mergeCell ref="B79:B80"/>
    <mergeCell ref="C79:E80"/>
    <mergeCell ref="F79:H80"/>
    <mergeCell ref="L79:M80"/>
    <mergeCell ref="L89:M89"/>
    <mergeCell ref="B91:B92"/>
    <mergeCell ref="C91:E92"/>
    <mergeCell ref="F91:H92"/>
    <mergeCell ref="L91:M92"/>
    <mergeCell ref="A85:A93"/>
    <mergeCell ref="B85:E86"/>
    <mergeCell ref="F85:H90"/>
    <mergeCell ref="D87:E87"/>
    <mergeCell ref="D89:E89"/>
    <mergeCell ref="I89:K89"/>
    <mergeCell ref="B93:E93"/>
    <mergeCell ref="K106:L106"/>
    <mergeCell ref="K104:L104"/>
    <mergeCell ref="K102:L102"/>
    <mergeCell ref="K100:L100"/>
    <mergeCell ref="A98:K98"/>
    <mergeCell ref="L98:M98"/>
    <mergeCell ref="L93:M93"/>
    <mergeCell ref="B94:K94"/>
    <mergeCell ref="L94:M94"/>
    <mergeCell ref="A95:A97"/>
    <mergeCell ref="B95:E97"/>
    <mergeCell ref="F95:H97"/>
    <mergeCell ref="I95:K97"/>
    <mergeCell ref="L95:M9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</vt:lpstr>
      <vt:lpstr>МРСК</vt:lpstr>
      <vt:lpstr>09-01-01</vt:lpstr>
      <vt:lpstr>09-01-02</vt:lpstr>
      <vt:lpstr>09-02-01</vt:lpstr>
      <vt:lpstr>09-02-02</vt:lpstr>
      <vt:lpstr>09-02-03</vt:lpstr>
      <vt:lpstr>'09-02-03'!Заголовки_для_печати</vt:lpstr>
      <vt:lpstr>Т!Заголовки_для_печати</vt:lpstr>
      <vt:lpstr>'09-02-03'!Область_печати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Егоров Илья Сергеевич</cp:lastModifiedBy>
  <cp:lastPrinted>2020-12-08T03:30:03Z</cp:lastPrinted>
  <dcterms:created xsi:type="dcterms:W3CDTF">2020-02-05T01:15:46Z</dcterms:created>
  <dcterms:modified xsi:type="dcterms:W3CDTF">2020-12-16T05:30:45Z</dcterms:modified>
</cp:coreProperties>
</file>