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302301 А не МСП\ДоЗ\Приложение 1 Технические требования\Приложение 3 расчет стоимости\"/>
    </mc:Choice>
  </mc:AlternateContent>
  <bookViews>
    <workbookView xWindow="480" yWindow="75" windowWidth="11340" windowHeight="9345"/>
  </bookViews>
  <sheets>
    <sheet name="Т" sheetId="5" r:id="rId1"/>
    <sheet name="расчет 1" sheetId="2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Т!$12:$12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'расчет 1'!$A$1:$N$67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 calcMode="manual"/>
</workbook>
</file>

<file path=xl/calcChain.xml><?xml version="1.0" encoding="utf-8"?>
<calcChain xmlns="http://schemas.openxmlformats.org/spreadsheetml/2006/main">
  <c r="H23" i="2" l="1"/>
  <c r="G21" i="2" l="1"/>
  <c r="H21" i="2" s="1"/>
  <c r="E24" i="5" s="1"/>
  <c r="G22" i="2"/>
  <c r="G23" i="2"/>
  <c r="C15" i="5" l="1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F25" i="2"/>
  <c r="G25" i="2" s="1"/>
  <c r="F24" i="2"/>
  <c r="G24" i="2" s="1"/>
  <c r="J24" i="2" l="1"/>
  <c r="I25" i="2"/>
  <c r="F28" i="5" s="1"/>
  <c r="H25" i="2"/>
  <c r="E28" i="5" s="1"/>
  <c r="K25" i="2"/>
  <c r="J25" i="2"/>
  <c r="K24" i="2"/>
  <c r="H24" i="2"/>
  <c r="E27" i="5" s="1"/>
  <c r="I24" i="2"/>
  <c r="F27" i="5" s="1"/>
  <c r="H22" i="2"/>
  <c r="E25" i="5" s="1"/>
  <c r="K23" i="2"/>
  <c r="J23" i="2"/>
  <c r="I23" i="2"/>
  <c r="F26" i="5" s="1"/>
  <c r="E26" i="5"/>
  <c r="I21" i="2"/>
  <c r="F24" i="5" s="1"/>
  <c r="J21" i="2"/>
  <c r="K21" i="2"/>
  <c r="I22" i="2"/>
  <c r="F25" i="5" s="1"/>
  <c r="J22" i="2"/>
  <c r="K22" i="2"/>
  <c r="F18" i="2"/>
  <c r="G18" i="2" s="1"/>
  <c r="F17" i="2"/>
  <c r="G17" i="2" s="1"/>
  <c r="J17" i="2" s="1"/>
  <c r="F16" i="2"/>
  <c r="G16" i="2" s="1"/>
  <c r="H16" i="2" s="1"/>
  <c r="E19" i="5" s="1"/>
  <c r="F15" i="2"/>
  <c r="G15" i="2" s="1"/>
  <c r="H15" i="2" s="1"/>
  <c r="E18" i="5" s="1"/>
  <c r="F14" i="2"/>
  <c r="G14" i="2" s="1"/>
  <c r="H14" i="2" s="1"/>
  <c r="E17" i="5" s="1"/>
  <c r="F13" i="2"/>
  <c r="G13" i="2" s="1"/>
  <c r="F12" i="2"/>
  <c r="G12" i="2" s="1"/>
  <c r="F11" i="2"/>
  <c r="G11" i="2" s="1"/>
  <c r="H11" i="2" s="1"/>
  <c r="H17" i="2" l="1"/>
  <c r="E20" i="5" s="1"/>
  <c r="L21" i="2"/>
  <c r="M21" i="2" s="1"/>
  <c r="L24" i="2"/>
  <c r="N24" i="2" s="1"/>
  <c r="L25" i="2"/>
  <c r="N25" i="2" s="1"/>
  <c r="L23" i="2"/>
  <c r="N23" i="2" s="1"/>
  <c r="L22" i="2"/>
  <c r="M22" i="2" s="1"/>
  <c r="J18" i="2"/>
  <c r="I18" i="2"/>
  <c r="F21" i="5" s="1"/>
  <c r="H18" i="2"/>
  <c r="E21" i="5" s="1"/>
  <c r="K18" i="2"/>
  <c r="I14" i="2"/>
  <c r="F17" i="5" s="1"/>
  <c r="K14" i="2"/>
  <c r="J14" i="2"/>
  <c r="K16" i="2"/>
  <c r="J16" i="2"/>
  <c r="I16" i="2"/>
  <c r="F19" i="5" s="1"/>
  <c r="I15" i="2"/>
  <c r="F18" i="5" s="1"/>
  <c r="K17" i="2"/>
  <c r="J15" i="2"/>
  <c r="I17" i="2"/>
  <c r="F20" i="5" s="1"/>
  <c r="K15" i="2"/>
  <c r="H13" i="2"/>
  <c r="E16" i="5" s="1"/>
  <c r="K13" i="2"/>
  <c r="J13" i="2"/>
  <c r="I13" i="2"/>
  <c r="F16" i="5" s="1"/>
  <c r="H12" i="2"/>
  <c r="E15" i="5" s="1"/>
  <c r="K12" i="2"/>
  <c r="J12" i="2"/>
  <c r="I12" i="2"/>
  <c r="F15" i="5" s="1"/>
  <c r="K11" i="2"/>
  <c r="J11" i="2"/>
  <c r="I11" i="2"/>
  <c r="F34" i="2"/>
  <c r="G34" i="2" s="1"/>
  <c r="H34" i="2" s="1"/>
  <c r="E37" i="5" s="1"/>
  <c r="F33" i="2"/>
  <c r="G33" i="2" s="1"/>
  <c r="K33" i="2" s="1"/>
  <c r="F32" i="2"/>
  <c r="G32" i="2" s="1"/>
  <c r="K32" i="2" s="1"/>
  <c r="F31" i="2"/>
  <c r="G31" i="2" s="1"/>
  <c r="F30" i="2"/>
  <c r="G30" i="2" s="1"/>
  <c r="J30" i="2" s="1"/>
  <c r="F29" i="2"/>
  <c r="G29" i="2" s="1"/>
  <c r="F28" i="2"/>
  <c r="G28" i="2" s="1"/>
  <c r="H28" i="2" s="1"/>
  <c r="E31" i="5" s="1"/>
  <c r="F27" i="2"/>
  <c r="G27" i="2" s="1"/>
  <c r="H27" i="2" s="1"/>
  <c r="E30" i="5" s="1"/>
  <c r="I32" i="2" l="1"/>
  <c r="F35" i="5" s="1"/>
  <c r="J28" i="2"/>
  <c r="M25" i="2"/>
  <c r="K27" i="2"/>
  <c r="H32" i="2"/>
  <c r="E35" i="5" s="1"/>
  <c r="H35" i="5" s="1"/>
  <c r="H33" i="2"/>
  <c r="E36" i="5" s="1"/>
  <c r="J34" i="2"/>
  <c r="I27" i="2"/>
  <c r="M23" i="2"/>
  <c r="N21" i="2"/>
  <c r="M24" i="2"/>
  <c r="N22" i="2"/>
  <c r="L18" i="2"/>
  <c r="L15" i="2"/>
  <c r="N15" i="2" s="1"/>
  <c r="L14" i="2"/>
  <c r="M14" i="2" s="1"/>
  <c r="L17" i="2"/>
  <c r="L16" i="2"/>
  <c r="L13" i="2"/>
  <c r="L12" i="2"/>
  <c r="L11" i="2"/>
  <c r="K34" i="2"/>
  <c r="J32" i="2"/>
  <c r="I33" i="2"/>
  <c r="J33" i="2"/>
  <c r="I34" i="2"/>
  <c r="F37" i="5" s="1"/>
  <c r="I31" i="2"/>
  <c r="F34" i="5" s="1"/>
  <c r="H31" i="2"/>
  <c r="E34" i="5" s="1"/>
  <c r="K31" i="2"/>
  <c r="J31" i="2"/>
  <c r="K30" i="2"/>
  <c r="H30" i="2"/>
  <c r="E33" i="5" s="1"/>
  <c r="I30" i="2"/>
  <c r="F33" i="5" s="1"/>
  <c r="I29" i="2"/>
  <c r="F32" i="5" s="1"/>
  <c r="H29" i="2"/>
  <c r="E32" i="5" s="1"/>
  <c r="K29" i="2"/>
  <c r="J29" i="2"/>
  <c r="J27" i="2"/>
  <c r="I28" i="2"/>
  <c r="K28" i="2"/>
  <c r="L27" i="2" l="1"/>
  <c r="L32" i="2"/>
  <c r="M32" i="2" s="1"/>
  <c r="F31" i="5"/>
  <c r="H31" i="5" s="1"/>
  <c r="F36" i="5"/>
  <c r="H36" i="5" s="1"/>
  <c r="F30" i="5"/>
  <c r="H30" i="5" s="1"/>
  <c r="H34" i="5"/>
  <c r="H37" i="5"/>
  <c r="H32" i="5"/>
  <c r="N14" i="2"/>
  <c r="H33" i="5"/>
  <c r="L33" i="2"/>
  <c r="M33" i="2" s="1"/>
  <c r="N18" i="2"/>
  <c r="M18" i="2"/>
  <c r="M15" i="2"/>
  <c r="N16" i="2"/>
  <c r="M16" i="2"/>
  <c r="N17" i="2"/>
  <c r="M17" i="2"/>
  <c r="N13" i="2"/>
  <c r="M13" i="2"/>
  <c r="N12" i="2"/>
  <c r="M12" i="2"/>
  <c r="M11" i="2"/>
  <c r="N11" i="2"/>
  <c r="L34" i="2"/>
  <c r="L30" i="2"/>
  <c r="L31" i="2"/>
  <c r="L29" i="2"/>
  <c r="M27" i="2"/>
  <c r="N27" i="2"/>
  <c r="L28" i="2"/>
  <c r="N32" i="2" l="1"/>
  <c r="N33" i="2"/>
  <c r="N34" i="2"/>
  <c r="M34" i="2"/>
  <c r="M31" i="2"/>
  <c r="N31" i="2"/>
  <c r="N30" i="2"/>
  <c r="M30" i="2"/>
  <c r="M29" i="2"/>
  <c r="N29" i="2"/>
  <c r="N28" i="2"/>
  <c r="M28" i="2"/>
  <c r="F26" i="2" l="1"/>
  <c r="G26" i="2" s="1"/>
  <c r="H26" i="2" l="1"/>
  <c r="E29" i="5" s="1"/>
  <c r="K26" i="2"/>
  <c r="J26" i="2"/>
  <c r="I26" i="2"/>
  <c r="F29" i="5" s="1"/>
  <c r="H26" i="5" l="1"/>
  <c r="H29" i="5"/>
  <c r="H27" i="5"/>
  <c r="H28" i="5"/>
  <c r="L26" i="2"/>
  <c r="N26" i="2" l="1"/>
  <c r="M26" i="2"/>
  <c r="F20" i="2" l="1"/>
  <c r="G20" i="2" s="1"/>
  <c r="H20" i="2" s="1"/>
  <c r="E23" i="5" s="1"/>
  <c r="J20" i="2" l="1"/>
  <c r="K20" i="2"/>
  <c r="I20" i="2"/>
  <c r="F23" i="5" s="1"/>
  <c r="H25" i="5" l="1"/>
  <c r="H24" i="5"/>
  <c r="L20" i="2"/>
  <c r="H23" i="5" l="1"/>
  <c r="N20" i="2"/>
  <c r="M20" i="2"/>
  <c r="C14" i="5" l="1"/>
  <c r="F19" i="2" l="1"/>
  <c r="G19" i="2" s="1"/>
  <c r="J19" i="2" l="1"/>
  <c r="J35" i="2" l="1"/>
  <c r="E47" i="5" s="1"/>
  <c r="K19" i="2"/>
  <c r="H19" i="2"/>
  <c r="H35" i="2" s="1"/>
  <c r="I19" i="2"/>
  <c r="I35" i="2" l="1"/>
  <c r="F22" i="5"/>
  <c r="E22" i="5"/>
  <c r="K35" i="2"/>
  <c r="H19" i="5"/>
  <c r="H20" i="5"/>
  <c r="H18" i="5"/>
  <c r="H21" i="5"/>
  <c r="L19" i="2"/>
  <c r="N19" i="2" s="1"/>
  <c r="N35" i="2" s="1"/>
  <c r="H61" i="5"/>
  <c r="L35" i="2" l="1"/>
  <c r="H22" i="5"/>
  <c r="M19" i="2"/>
  <c r="M35" i="2" s="1"/>
  <c r="E46" i="5" l="1"/>
  <c r="D53" i="5"/>
  <c r="H17" i="5"/>
  <c r="H15" i="5"/>
  <c r="H16" i="5" l="1"/>
  <c r="B7" i="2" l="1"/>
  <c r="E14" i="5" l="1"/>
  <c r="E38" i="5" s="1"/>
  <c r="F14" i="5"/>
  <c r="F38" i="5" s="1"/>
  <c r="H38" i="5" l="1"/>
  <c r="D54" i="5"/>
  <c r="H60" i="5" l="1"/>
  <c r="H59" i="5"/>
  <c r="G54" i="5"/>
  <c r="F54" i="5"/>
  <c r="E54" i="5"/>
  <c r="G48" i="5"/>
  <c r="F48" i="5"/>
  <c r="D48" i="5"/>
  <c r="H40" i="5"/>
  <c r="G38" i="5"/>
  <c r="G42" i="5" s="1"/>
  <c r="G44" i="5" s="1"/>
  <c r="G49" i="5" s="1"/>
  <c r="D38" i="5"/>
  <c r="D42" i="5" s="1"/>
  <c r="D44" i="5" s="1"/>
  <c r="G55" i="5" l="1"/>
  <c r="G57" i="5" s="1"/>
  <c r="G62" i="5" s="1"/>
  <c r="D49" i="5"/>
  <c r="D55" i="5" s="1"/>
  <c r="D57" i="5" l="1"/>
  <c r="D62" i="5" s="1"/>
  <c r="D63" i="5" s="1"/>
  <c r="F42" i="5"/>
  <c r="F44" i="5" s="1"/>
  <c r="F49" i="5" s="1"/>
  <c r="F55" i="5" s="1"/>
  <c r="F57" i="5" l="1"/>
  <c r="F62" i="5" s="1"/>
  <c r="D64" i="5"/>
  <c r="H14" i="5"/>
  <c r="E42" i="5" l="1"/>
  <c r="F63" i="5" l="1"/>
  <c r="F64" i="5" s="1"/>
  <c r="E44" i="5"/>
  <c r="H42" i="5"/>
  <c r="H44" i="5" l="1"/>
  <c r="H46" i="5" s="1"/>
  <c r="H53" i="5"/>
  <c r="H51" i="5"/>
  <c r="E48" i="5" l="1"/>
  <c r="H54" i="5"/>
  <c r="E49" i="5" l="1"/>
  <c r="E55" i="5" s="1"/>
  <c r="E57" i="5" s="1"/>
  <c r="E62" i="5" s="1"/>
  <c r="H48" i="5"/>
  <c r="G63" i="5"/>
  <c r="G64" i="5" s="1"/>
  <c r="H49" i="5" l="1"/>
  <c r="E63" i="5"/>
  <c r="H63" i="5" s="1"/>
  <c r="H62" i="5"/>
  <c r="H55" i="5"/>
  <c r="E64" i="5" l="1"/>
  <c r="H64" i="5" s="1"/>
  <c r="H57" i="5"/>
  <c r="H58" i="5" l="1"/>
</calcChain>
</file>

<file path=xl/sharedStrings.xml><?xml version="1.0" encoding="utf-8"?>
<sst xmlns="http://schemas.openxmlformats.org/spreadsheetml/2006/main" count="184" uniqueCount="123">
  <si>
    <t>(наименование стройки)</t>
  </si>
  <si>
    <t>№ пп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</si>
  <si>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</si>
  <si>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</si>
  <si>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</si>
  <si>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</si>
  <si>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</si>
  <si>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</si>
  <si>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</si>
  <si>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</si>
  <si>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</si>
  <si>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</si>
  <si>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</si>
  <si>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</si>
  <si>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</si>
  <si>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</si>
  <si>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</si>
  <si>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</si>
  <si>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</si>
  <si>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</si>
  <si>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</si>
  <si>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ПИР</t>
  </si>
  <si>
    <t>СМР</t>
  </si>
  <si>
    <t>d+1</t>
  </si>
  <si>
    <t>-</t>
  </si>
  <si>
    <t>5,0-8,0% - прочие работы и затраты;</t>
  </si>
  <si>
    <t>2,6-3,18% - содержание службы заказчика-застройщика, строительный контроль;</t>
  </si>
  <si>
    <t>7,5-9,0% - проектно-изыскательские работы и авторский надзор;</t>
  </si>
  <si>
    <t>2,5-3,3% - временные здания и сооружения (при реконструкции и расширении применяется коэффициент 0,8);</t>
  </si>
  <si>
    <t>1,5% - благоустройство;</t>
  </si>
  <si>
    <t>по п.2.7:</t>
  </si>
  <si>
    <t>1.1.</t>
  </si>
  <si>
    <t>Для ВЛ:</t>
  </si>
  <si>
    <t xml:space="preserve">1. </t>
  </si>
  <si>
    <t>Коэффициенты, учитывающие лимитированные затраты, условия производства работ, прочие затраты и т.д.: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</si>
  <si>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</si>
  <si>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</si>
  <si>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Примечания:</t>
  </si>
  <si>
    <t>Итого по расчету</t>
  </si>
  <si>
    <t>заказчик</t>
  </si>
  <si>
    <t>Прочие, руб.</t>
  </si>
  <si>
    <t>ПНР, руб.</t>
  </si>
  <si>
    <t>Оборудование, приспособления и производственный инвентарь, руб.</t>
  </si>
  <si>
    <t>в т.ч.</t>
  </si>
  <si>
    <t>Всего, руб.</t>
  </si>
  <si>
    <t>Стоимость в ценах 2001г, тыс.руб.</t>
  </si>
  <si>
    <t>Коэффициенты, учитывающие лимитированные затраты, условия производства работ, прочие затраты и т.д.</t>
  </si>
  <si>
    <t>Объем работ</t>
  </si>
  <si>
    <t>Цена за ед. объема работ, в ценах 2001г,  тыс.руб.</t>
  </si>
  <si>
    <t>Обоснование</t>
  </si>
  <si>
    <t>Наименование</t>
  </si>
  <si>
    <t>№ п.п.</t>
  </si>
  <si>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</si>
  <si>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</si>
  <si>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d+2</t>
  </si>
  <si>
    <t>d+3</t>
  </si>
  <si>
    <t>d</t>
  </si>
  <si>
    <t>МРСК</t>
  </si>
  <si>
    <t>СМЕТНЫЙ РАСЧЕТ</t>
  </si>
  <si>
    <t>табл. 2</t>
  </si>
  <si>
    <t>1,018 - коэффициент , учитывающий работу вблизи объектов, находящихся под высоким напряжениемпри изменении конструктивных решений, проводав, кабелей более 50%</t>
  </si>
  <si>
    <t>1,013 -коэффициент, учитывающий работу в условиях городской и промышленной застройки</t>
  </si>
  <si>
    <t>1,053 -коэффициент, учитывающий работу в условиях болотистой трассы</t>
  </si>
  <si>
    <t>1,028 -коэффициент, учитывающий работу в условиях распутицы, в пойме реки</t>
  </si>
  <si>
    <t>1.2.</t>
  </si>
  <si>
    <t>по п.1.6.</t>
  </si>
  <si>
    <t>1.3.</t>
  </si>
  <si>
    <t>по таблице  4</t>
  </si>
  <si>
    <t>1,5% - непредвиденные затраты (при согласовании с заказчиком до 10%)</t>
  </si>
  <si>
    <t>К=1,322=((1,5+2,5+7,5+5+1,5)/100+1)*1,12</t>
  </si>
  <si>
    <t>Итого  по сводному расчету в ценах 4 квартала 2020 года без НДС</t>
  </si>
  <si>
    <t>Составлена в ценах по состоянию на 4 кв. 2020 год и прогнозном уровне цен 2021 год</t>
  </si>
  <si>
    <t>Общая сметная стоимость, руб.</t>
  </si>
  <si>
    <t xml:space="preserve">    Проектная документация учтена в стадии рабочей документации</t>
  </si>
  <si>
    <t xml:space="preserve">          Перевод в текущие  цены, 4 квартал 2020г.,осуществлен с учетом индексов, указанных в письме Минстроя России  №44016-ИФ/09 от 02.11.2020, №45484-ИФ/09 от12.11.2020</t>
  </si>
  <si>
    <t>Стоимость в ценах по состоянию на 4 кв. 2020 год с учетом ДВ*, руб.</t>
  </si>
  <si>
    <t>НДС 20%</t>
  </si>
  <si>
    <t>Справочно стоимость объекта в прогнозных ценах без НДС</t>
  </si>
  <si>
    <t>ИТОГО стоимость в прогнозных ценах без НДС</t>
  </si>
  <si>
    <t>ВСЕГО стоимость в прогнозных ценах с НДС</t>
  </si>
  <si>
    <t>СМР , руб.</t>
  </si>
  <si>
    <t>Сметная стоимость, руб.</t>
  </si>
  <si>
    <t>табл. 6</t>
  </si>
  <si>
    <t>К=1,286=((1,5+2,5+7,5+5+1,5)/100+1)*1,09</t>
  </si>
  <si>
    <t>1,12 - при изменении конструктивных решений, проводав, кабелей более 50% на ВЛ</t>
  </si>
  <si>
    <t>1,09 - при изменении конструктивных решений, проводав, кабелей более 50% на ТП</t>
  </si>
  <si>
    <t>Коэффициент учитывающий общий объем финансовых потребностей по сборнику УНЦ</t>
  </si>
  <si>
    <t xml:space="preserve">Заместитель директора по развитию и инвестициям </t>
  </si>
  <si>
    <t>Скаредин В.А.</t>
  </si>
  <si>
    <t xml:space="preserve">Начальник ООСТНиУИ     </t>
  </si>
  <si>
    <t>Москалев А.В.</t>
  </si>
  <si>
    <t xml:space="preserve">Начальник ОСДР </t>
  </si>
  <si>
    <t>Стеценко Л.В.</t>
  </si>
  <si>
    <t xml:space="preserve">Ведущий инженер-сметчик ОСДР      </t>
  </si>
  <si>
    <t>Гаврюш Т.П.</t>
  </si>
  <si>
    <t>Замена ТП-7412  
без учета КТП 250 кВА</t>
  </si>
  <si>
    <r>
      <rPr>
        <b/>
        <sz val="10"/>
        <rFont val="Times New Roman"/>
        <family val="1"/>
        <charset val="204"/>
      </rPr>
      <t>Прочие работы и затраты</t>
    </r>
    <r>
      <rPr>
        <sz val="10"/>
        <rFont val="Times New Roman"/>
        <family val="1"/>
        <charset val="204"/>
      </rPr>
      <t xml:space="preserve">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  </r>
  </si>
  <si>
    <t xml:space="preserve">ПНР </t>
  </si>
  <si>
    <t>Разработка рабочей документации</t>
  </si>
  <si>
    <t>Замена ТП-7328 
без учета КТП 250 кВА</t>
  </si>
  <si>
    <t>Реконструкция распределительных сетей 6/0,4 кВ г.Партизанск с заменой ТП</t>
  </si>
  <si>
    <t>Замена ТП-7358 
без учета КТП 630 кВА</t>
  </si>
  <si>
    <t>Замена ТП-7359 
без учета КТП 250 кВА</t>
  </si>
  <si>
    <t>Замена ТП-7382
без учета КТП 400 кВА</t>
  </si>
  <si>
    <t>ВЛ-0,4 кВ Ф-2 ТП-7360 (свободностоящая)  СИП 70 ж/б без учета стоек опор ж/б СВ 95-3 5 шт. и провода СИП - 0,2 км.</t>
  </si>
  <si>
    <t>ВЛ-0,4 кВ Ф-9 ТП-7360 (свободностоящая)  СИП 70 ж/б без учета стоек опор ж/б СВ 95-3 5 шт. и провода СИП - 0,2 км.</t>
  </si>
  <si>
    <t>ВЛ-0,4 кВ Ф-13 ТП-7360 (свободностоящая)  СИП 70 ж/б без учета стоек опор ж/б СВ 95-3 3 шт. и провода СИП - 0,1 км.</t>
  </si>
  <si>
    <t>ВЛ-0,4 кВ Ф-14 ТП-7360 (свободностоящая)  СИП 70 ж/б без учета стоек опор ж/б СВ 95-3 7 шт. и провода СИП - 0,3 км.</t>
  </si>
  <si>
    <t>Замена ТП-7364
без учета КТП 400 кВА</t>
  </si>
  <si>
    <t>Замена ТП-7365 
без учета КТП 250 кВА</t>
  </si>
  <si>
    <t>ВЛ-0,4 кВ Ф-1 ТП-7365 (свободностоящая)  СИП 70 ж/б без учета стоек опор ж/б СВ 95-3 8 шт. и провода СИП - 0,3 км.</t>
  </si>
  <si>
    <t>ВЛ-0,4 кВ Ф-2 ТП-7365 (свободностоящая)  СИП 70 ж/б без учета стоек опор ж/б СВ 95-3 18 шт. и провода СИП - 0,7 км.</t>
  </si>
  <si>
    <t>ВЛ-0,4 кВ Ф-1,2,3 ТП-7365 (свободностоящая)  СИП 70 ж/б без учета стоек опор ж/б СВ 95-3 53 шт. и провода СИП - 4,2 км.</t>
  </si>
  <si>
    <t>ВЛ-0,4 кВ Ф-3 ТП-7365 (свободностоящая)  СИП 70 ж/б без учета стоек опор ж/б СВ 95-3 25 шт. и провода СИП - 1 км.</t>
  </si>
  <si>
    <t>Замена ТП-7387
без учета КТП 400 кВА</t>
  </si>
  <si>
    <t>Замена ТП-7391 
без учета КТП 250 кВА</t>
  </si>
  <si>
    <t>ВЛ-0,4 кВ Ф-2 ТП-7411 (свободностоящая)  СИП 70 ж/б без учета стоек опор ж/б СВ 95-3 31 шт. и провода СИП - 1,2 км.</t>
  </si>
  <si>
    <t>ВЛ-0,4 кВ Ф-3 ТП-7411 (свободностоящая)  СИП 70 ж/б без учета стоек опор ж/б СВ 95-3 7 шт. и провода СИП - 0,3 км.</t>
  </si>
  <si>
    <t>Замена ТП-7417 
без учета КТП 400 кВА</t>
  </si>
  <si>
    <t>Замена ТП-7331 
без учета КТП 250 кВА</t>
  </si>
  <si>
    <t>Замена ТП-7336 
без учета КТП 400 кВА</t>
  </si>
  <si>
    <t>Замена ТП-7352 
без учета КТП 400 кВА</t>
  </si>
  <si>
    <t>Замена ТП-7366 
без учета КТП 400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</si>
</sst>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0.000"/>
    <numFmt numFmtId="173" formatCode="#,##0_ ;\-#,##0\ "/>
    <numFmt numFmtId="174" formatCode="#,##0_);[Red]\(#,##0\)"/>
    <numFmt numFmtId="175" formatCode="#,##0_);\(#,##0\)"/>
    <numFmt numFmtId="176" formatCode="[&lt;=9999999]###\-####;\+#_ \(###\)\ ###\-####"/>
    <numFmt numFmtId="177" formatCode="_-* #,##0.00\ _р_._-;\-* #,##0.00\ _р_._-;_-* &quot;-&quot;??\ _р_._-;_-@_-"/>
    <numFmt numFmtId="178" formatCode="#,##0.00000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79">
    <xf numFmtId="0" fontId="0" fillId="0" borderId="0"/>
    <xf numFmtId="0" fontId="7" fillId="0" borderId="0"/>
    <xf numFmtId="0" fontId="14" fillId="0" borderId="0"/>
    <xf numFmtId="0" fontId="9" fillId="0" borderId="0"/>
    <xf numFmtId="0" fontId="13" fillId="0" borderId="0"/>
    <xf numFmtId="0" fontId="15" fillId="0" borderId="0"/>
    <xf numFmtId="38" fontId="16" fillId="0" borderId="0" applyFont="0" applyFill="0" applyBorder="0" applyAlignment="0" applyProtection="0"/>
    <xf numFmtId="169" fontId="8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17" fillId="0" borderId="0"/>
    <xf numFmtId="0" fontId="18" fillId="0" borderId="0">
      <alignment horizontal="left" vertical="top"/>
    </xf>
    <xf numFmtId="166" fontId="7" fillId="0" borderId="0" applyFont="0" applyFill="0" applyBorder="0" applyAlignment="0" applyProtection="0"/>
    <xf numFmtId="0" fontId="10" fillId="0" borderId="0">
      <alignment horizontal="right" vertical="top" wrapText="1"/>
    </xf>
    <xf numFmtId="0" fontId="10" fillId="0" borderId="2">
      <alignment horizontal="center" wrapText="1"/>
    </xf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2" applyBorder="0" applyAlignment="0">
      <alignment horizontal="center" wrapText="1"/>
    </xf>
    <xf numFmtId="9" fontId="7" fillId="0" borderId="0" applyFont="0" applyFill="0" applyBorder="0" applyAlignment="0" applyProtection="0"/>
    <xf numFmtId="0" fontId="19" fillId="0" borderId="0"/>
    <xf numFmtId="0" fontId="10" fillId="0" borderId="0">
      <alignment horizontal="center"/>
    </xf>
    <xf numFmtId="165" fontId="7" fillId="0" borderId="0" applyFont="0" applyFill="0" applyBorder="0" applyAlignment="0" applyProtection="0"/>
    <xf numFmtId="40" fontId="1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0" fillId="0" borderId="0">
      <alignment horizontal="left" vertical="top"/>
    </xf>
    <xf numFmtId="0" fontId="6" fillId="0" borderId="0"/>
    <xf numFmtId="0" fontId="29" fillId="0" borderId="0"/>
    <xf numFmtId="0" fontId="8" fillId="0" borderId="0"/>
    <xf numFmtId="0" fontId="8" fillId="0" borderId="0"/>
    <xf numFmtId="0" fontId="9" fillId="0" borderId="0"/>
    <xf numFmtId="0" fontId="14" fillId="0" borderId="0"/>
    <xf numFmtId="173" fontId="8" fillId="0" borderId="0" applyFont="0" applyFill="0" applyBorder="0" applyAlignment="0" applyProtection="0"/>
    <xf numFmtId="0" fontId="30" fillId="0" borderId="0"/>
    <xf numFmtId="0" fontId="30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174" fontId="32" fillId="0" borderId="0">
      <alignment vertical="top"/>
    </xf>
    <xf numFmtId="0" fontId="31" fillId="0" borderId="0"/>
    <xf numFmtId="174" fontId="32" fillId="0" borderId="0">
      <alignment vertical="top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174" fontId="32" fillId="0" borderId="0">
      <alignment vertical="top"/>
    </xf>
    <xf numFmtId="0" fontId="31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8" borderId="0" applyNumberFormat="0" applyBorder="0" applyAlignment="0" applyProtection="0"/>
    <xf numFmtId="0" fontId="33" fillId="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2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2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174" fontId="35" fillId="23" borderId="0">
      <alignment vertical="top"/>
    </xf>
    <xf numFmtId="14" fontId="36" fillId="0" borderId="0">
      <alignment vertical="top"/>
    </xf>
    <xf numFmtId="174" fontId="37" fillId="0" borderId="0">
      <alignment vertical="top"/>
    </xf>
    <xf numFmtId="0" fontId="38" fillId="0" borderId="0">
      <alignment vertical="top"/>
    </xf>
    <xf numFmtId="174" fontId="39" fillId="0" borderId="0">
      <alignment vertical="top"/>
    </xf>
    <xf numFmtId="175" fontId="35" fillId="0" borderId="0">
      <alignment vertical="top"/>
    </xf>
    <xf numFmtId="174" fontId="40" fillId="24" borderId="0">
      <alignment horizontal="right" vertical="top"/>
    </xf>
    <xf numFmtId="0" fontId="8" fillId="0" borderId="0"/>
    <xf numFmtId="0" fontId="8" fillId="0" borderId="0"/>
    <xf numFmtId="0" fontId="41" fillId="25" borderId="0"/>
    <xf numFmtId="176" fontId="36" fillId="0" borderId="0">
      <alignment vertical="top"/>
    </xf>
    <xf numFmtId="0" fontId="10" fillId="0" borderId="2">
      <alignment horizontal="center"/>
    </xf>
    <xf numFmtId="0" fontId="7" fillId="0" borderId="0">
      <alignment vertical="top"/>
    </xf>
    <xf numFmtId="0" fontId="34" fillId="26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8" borderId="0" applyNumberFormat="0" applyBorder="0" applyAlignment="0" applyProtection="0"/>
    <xf numFmtId="0" fontId="34" fillId="21" borderId="0" applyNumberFormat="0" applyBorder="0" applyAlignment="0" applyProtection="0"/>
    <xf numFmtId="0" fontId="34" fillId="29" borderId="0" applyNumberFormat="0" applyBorder="0" applyAlignment="0" applyProtection="0"/>
    <xf numFmtId="0" fontId="34" fillId="29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42" fillId="8" borderId="8" applyNumberFormat="0" applyAlignment="0" applyProtection="0"/>
    <xf numFmtId="0" fontId="10" fillId="0" borderId="2">
      <alignment horizontal="center"/>
    </xf>
    <xf numFmtId="0" fontId="10" fillId="0" borderId="0">
      <alignment vertical="top"/>
    </xf>
    <xf numFmtId="0" fontId="43" fillId="14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6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3" fillId="14" borderId="9" applyNumberFormat="0" applyAlignment="0" applyProtection="0"/>
    <xf numFmtId="0" fontId="44" fillId="14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6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4" fillId="14" borderId="8" applyNumberFormat="0" applyAlignment="0" applyProtection="0"/>
    <xf numFmtId="0" fontId="45" fillId="0" borderId="0" applyBorder="0">
      <alignment horizontal="center" vertical="center" wrapText="1"/>
    </xf>
    <xf numFmtId="0" fontId="46" fillId="0" borderId="10" applyNumberFormat="0" applyFill="0" applyAlignment="0" applyProtection="0"/>
    <xf numFmtId="0" fontId="47" fillId="0" borderId="11" applyNumberFormat="0" applyFill="0" applyAlignment="0" applyProtection="0"/>
    <xf numFmtId="0" fontId="46" fillId="0" borderId="10" applyNumberFormat="0" applyFill="0" applyAlignment="0" applyProtection="0"/>
    <xf numFmtId="0" fontId="46" fillId="0" borderId="10" applyNumberFormat="0" applyFill="0" applyAlignment="0" applyProtection="0"/>
    <xf numFmtId="0" fontId="48" fillId="0" borderId="12" applyNumberFormat="0" applyFill="0" applyAlignment="0" applyProtection="0"/>
    <xf numFmtId="0" fontId="49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50" fillId="0" borderId="13" applyNumberFormat="0" applyFill="0" applyAlignment="0" applyProtection="0"/>
    <xf numFmtId="0" fontId="51" fillId="0" borderId="14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15" applyBorder="0">
      <alignment horizontal="center" vertical="center" wrapText="1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4" fontId="53" fillId="31" borderId="2" applyBorder="0">
      <alignment horizontal="right"/>
    </xf>
    <xf numFmtId="0" fontId="7" fillId="0" borderId="0"/>
    <xf numFmtId="0" fontId="54" fillId="0" borderId="16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54" fillId="0" borderId="16" applyNumberFormat="0" applyFill="0" applyAlignment="0" applyProtection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55" fillId="32" borderId="18" applyNumberFormat="0" applyAlignment="0" applyProtection="0"/>
    <xf numFmtId="0" fontId="7" fillId="0" borderId="0">
      <alignment vertical="top"/>
    </xf>
    <xf numFmtId="0" fontId="7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58" fillId="17" borderId="0" applyNumberFormat="0" applyBorder="0" applyAlignment="0" applyProtection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0" fillId="0" borderId="0"/>
    <xf numFmtId="0" fontId="5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0" borderId="0"/>
    <xf numFmtId="0" fontId="8" fillId="0" borderId="0"/>
    <xf numFmtId="0" fontId="8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7" fillId="0" borderId="0"/>
    <xf numFmtId="0" fontId="60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0" fillId="0" borderId="0"/>
    <xf numFmtId="0" fontId="30" fillId="0" borderId="0"/>
    <xf numFmtId="0" fontId="30" fillId="0" borderId="0"/>
    <xf numFmtId="0" fontId="61" fillId="0" borderId="0"/>
    <xf numFmtId="0" fontId="30" fillId="0" borderId="0"/>
    <xf numFmtId="0" fontId="30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2" fillId="0" borderId="0"/>
    <xf numFmtId="0" fontId="30" fillId="0" borderId="0"/>
    <xf numFmtId="0" fontId="3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30" fillId="0" borderId="0"/>
    <xf numFmtId="0" fontId="7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3" fillId="0" borderId="0"/>
    <xf numFmtId="0" fontId="5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3" fillId="0" borderId="0"/>
    <xf numFmtId="0" fontId="33" fillId="0" borderId="0"/>
    <xf numFmtId="0" fontId="30" fillId="0" borderId="0"/>
    <xf numFmtId="0" fontId="5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0" fillId="0" borderId="0"/>
    <xf numFmtId="0" fontId="33" fillId="0" borderId="0"/>
    <xf numFmtId="0" fontId="33" fillId="0" borderId="0"/>
    <xf numFmtId="0" fontId="8" fillId="0" borderId="0"/>
    <xf numFmtId="0" fontId="30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2">
      <alignment horizontal="center" wrapText="1"/>
    </xf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4" fillId="7" borderId="0" applyNumberFormat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0" fillId="10" borderId="19" applyNumberFormat="0" applyFont="0" applyAlignment="0" applyProtection="0"/>
    <xf numFmtId="0" fontId="30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7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33" fillId="10" borderId="19" applyNumberFormat="0" applyFont="0" applyAlignment="0" applyProtection="0"/>
    <xf numFmtId="0" fontId="66" fillId="10" borderId="19" applyNumberFormat="0" applyFont="0" applyAlignment="0" applyProtection="0"/>
    <xf numFmtId="0" fontId="33" fillId="10" borderId="19" applyNumberFormat="0" applyFont="0" applyAlignment="0" applyProtection="0"/>
    <xf numFmtId="9" fontId="3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0" fillId="0" borderId="2">
      <alignment horizontal="center"/>
    </xf>
    <xf numFmtId="0" fontId="7" fillId="0" borderId="0"/>
    <xf numFmtId="0" fontId="10" fillId="0" borderId="2">
      <alignment horizontal="center" wrapText="1"/>
    </xf>
    <xf numFmtId="0" fontId="7" fillId="0" borderId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0" fontId="68" fillId="0" borderId="20" applyNumberFormat="0" applyFill="0" applyAlignment="0" applyProtection="0"/>
    <xf numFmtId="174" fontId="32" fillId="0" borderId="0">
      <alignment vertical="top"/>
    </xf>
    <xf numFmtId="0" fontId="15" fillId="0" borderId="0"/>
    <xf numFmtId="0" fontId="15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30" fillId="0" borderId="0" applyFont="0" applyFill="0" applyBorder="0" applyAlignment="0" applyProtection="0"/>
    <xf numFmtId="4" fontId="53" fillId="33" borderId="0" applyBorder="0">
      <alignment horizontal="right"/>
    </xf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0" fillId="9" borderId="0" applyNumberFormat="0" applyBorder="0" applyAlignment="0" applyProtection="0"/>
    <xf numFmtId="0" fontId="7" fillId="0" borderId="0"/>
    <xf numFmtId="0" fontId="10" fillId="0" borderId="0"/>
    <xf numFmtId="167" fontId="9" fillId="0" borderId="0" applyFont="0" applyFill="0" applyBorder="0" applyAlignment="0" applyProtection="0"/>
    <xf numFmtId="0" fontId="9" fillId="0" borderId="0"/>
    <xf numFmtId="0" fontId="29" fillId="0" borderId="0"/>
    <xf numFmtId="0" fontId="5" fillId="0" borderId="0"/>
    <xf numFmtId="0" fontId="4" fillId="0" borderId="0"/>
    <xf numFmtId="0" fontId="3" fillId="0" borderId="0"/>
    <xf numFmtId="0" fontId="9" fillId="0" borderId="0"/>
    <xf numFmtId="0" fontId="2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49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1"/>
    <xf numFmtId="0" fontId="11" fillId="0" borderId="2" xfId="1" applyFont="1" applyBorder="1" applyAlignment="1">
      <alignment wrapText="1"/>
    </xf>
    <xf numFmtId="0" fontId="20" fillId="0" borderId="0" xfId="33" applyFont="1"/>
    <xf numFmtId="0" fontId="21" fillId="0" borderId="0" xfId="33" applyFont="1"/>
    <xf numFmtId="0" fontId="21" fillId="0" borderId="0" xfId="33" applyFont="1" applyAlignment="1">
      <alignment horizontal="right"/>
    </xf>
    <xf numFmtId="0" fontId="22" fillId="0" borderId="0" xfId="33" applyFont="1"/>
    <xf numFmtId="49" fontId="22" fillId="0" borderId="0" xfId="33" applyNumberFormat="1" applyFont="1" applyAlignment="1">
      <alignment horizontal="right" vertical="center"/>
    </xf>
    <xf numFmtId="0" fontId="22" fillId="0" borderId="0" xfId="33" applyFont="1" applyAlignment="1">
      <alignment horizontal="right"/>
    </xf>
    <xf numFmtId="0" fontId="23" fillId="0" borderId="0" xfId="33" applyFont="1"/>
    <xf numFmtId="0" fontId="23" fillId="0" borderId="0" xfId="33" applyFont="1" applyAlignment="1">
      <alignment horizontal="right"/>
    </xf>
    <xf numFmtId="4" fontId="25" fillId="0" borderId="0" xfId="33" applyNumberFormat="1" applyFont="1" applyBorder="1" applyAlignment="1">
      <alignment horizontal="center" vertical="center"/>
    </xf>
    <xf numFmtId="0" fontId="25" fillId="0" borderId="0" xfId="33" applyFont="1" applyBorder="1" applyAlignment="1">
      <alignment horizontal="left" vertical="center" wrapText="1"/>
    </xf>
    <xf numFmtId="0" fontId="20" fillId="0" borderId="2" xfId="33" applyFont="1" applyBorder="1" applyAlignment="1">
      <alignment horizontal="center" vertical="center"/>
    </xf>
    <xf numFmtId="0" fontId="20" fillId="0" borderId="2" xfId="33" applyFont="1" applyBorder="1" applyAlignment="1">
      <alignment horizontal="center" vertical="center" wrapText="1"/>
    </xf>
    <xf numFmtId="0" fontId="20" fillId="3" borderId="0" xfId="33" applyFont="1" applyFill="1"/>
    <xf numFmtId="0" fontId="26" fillId="3" borderId="0" xfId="33" applyFont="1" applyFill="1" applyAlignment="1">
      <alignment horizontal="right"/>
    </xf>
    <xf numFmtId="0" fontId="20" fillId="0" borderId="0" xfId="33" applyFont="1" applyAlignment="1">
      <alignment horizontal="center"/>
    </xf>
    <xf numFmtId="0" fontId="27" fillId="0" borderId="0" xfId="33" applyFont="1" applyAlignment="1">
      <alignment horizontal="left" wrapText="1"/>
    </xf>
    <xf numFmtId="0" fontId="24" fillId="0" borderId="0" xfId="33" applyFont="1" applyAlignment="1">
      <alignment vertical="top" wrapText="1"/>
    </xf>
    <xf numFmtId="0" fontId="71" fillId="0" borderId="0" xfId="0" applyFont="1" applyAlignment="1">
      <alignment horizontal="right"/>
    </xf>
    <xf numFmtId="0" fontId="11" fillId="0" borderId="2" xfId="1" applyFont="1" applyBorder="1" applyAlignment="1">
      <alignment horizontal="center" wrapText="1"/>
    </xf>
    <xf numFmtId="0" fontId="7" fillId="0" borderId="0" xfId="1" applyFont="1"/>
    <xf numFmtId="49" fontId="7" fillId="0" borderId="0" xfId="1" applyNumberFormat="1" applyFont="1"/>
    <xf numFmtId="49" fontId="20" fillId="3" borderId="0" xfId="33" applyNumberFormat="1" applyFont="1" applyFill="1"/>
    <xf numFmtId="49" fontId="0" fillId="0" borderId="0" xfId="1" applyNumberFormat="1" applyFont="1"/>
    <xf numFmtId="172" fontId="20" fillId="3" borderId="0" xfId="33" applyNumberFormat="1" applyFont="1" applyFill="1"/>
    <xf numFmtId="4" fontId="25" fillId="0" borderId="0" xfId="971" applyNumberFormat="1" applyFont="1" applyBorder="1" applyAlignment="1">
      <alignment horizontal="right" vertical="center"/>
    </xf>
    <xf numFmtId="4" fontId="25" fillId="0" borderId="0" xfId="971" applyNumberFormat="1" applyFont="1" applyBorder="1" applyAlignment="1">
      <alignment horizontal="right"/>
    </xf>
    <xf numFmtId="0" fontId="20" fillId="0" borderId="0" xfId="971" applyFont="1" applyAlignment="1"/>
    <xf numFmtId="40" fontId="72" fillId="0" borderId="0" xfId="1" applyNumberFormat="1" applyFont="1" applyFill="1" applyBorder="1" applyAlignment="1">
      <alignment horizontal="center" vertical="top" wrapText="1"/>
    </xf>
    <xf numFmtId="178" fontId="25" fillId="0" borderId="0" xfId="33" applyNumberFormat="1" applyFont="1" applyBorder="1" applyAlignment="1">
      <alignment horizontal="center" vertical="center"/>
    </xf>
    <xf numFmtId="168" fontId="10" fillId="0" borderId="2" xfId="1" applyNumberFormat="1" applyFont="1" applyFill="1" applyBorder="1" applyAlignment="1">
      <alignment horizontal="right" vertical="top"/>
    </xf>
    <xf numFmtId="168" fontId="10" fillId="3" borderId="2" xfId="1" applyNumberFormat="1" applyFont="1" applyFill="1" applyBorder="1" applyAlignment="1">
      <alignment horizontal="right" vertical="top" wrapText="1"/>
    </xf>
    <xf numFmtId="0" fontId="23" fillId="0" borderId="0" xfId="973" applyFont="1" applyAlignment="1">
      <alignment horizontal="right"/>
    </xf>
    <xf numFmtId="0" fontId="22" fillId="0" borderId="0" xfId="973" applyFont="1" applyAlignment="1">
      <alignment horizontal="right"/>
    </xf>
    <xf numFmtId="49" fontId="22" fillId="0" borderId="0" xfId="973" applyNumberFormat="1" applyFont="1" applyAlignment="1">
      <alignment horizontal="right" vertical="center"/>
    </xf>
    <xf numFmtId="172" fontId="25" fillId="0" borderId="0" xfId="33" applyNumberFormat="1" applyFont="1" applyBorder="1" applyAlignment="1">
      <alignment horizontal="left" vertical="center" wrapText="1"/>
    </xf>
    <xf numFmtId="168" fontId="11" fillId="3" borderId="2" xfId="1" applyNumberFormat="1" applyFont="1" applyFill="1" applyBorder="1" applyAlignment="1">
      <alignment wrapText="1"/>
    </xf>
    <xf numFmtId="0" fontId="20" fillId="0" borderId="2" xfId="36" applyFont="1" applyBorder="1" applyAlignment="1">
      <alignment horizontal="center" vertical="center" wrapText="1"/>
    </xf>
    <xf numFmtId="0" fontId="20" fillId="3" borderId="2" xfId="975" applyFont="1" applyFill="1" applyBorder="1" applyAlignment="1">
      <alignment horizontal="center" vertical="center"/>
    </xf>
    <xf numFmtId="4" fontId="20" fillId="3" borderId="2" xfId="975" applyNumberFormat="1" applyFont="1" applyFill="1" applyBorder="1" applyAlignment="1">
      <alignment horizontal="center" vertical="center"/>
    </xf>
    <xf numFmtId="4" fontId="20" fillId="3" borderId="2" xfId="976" applyNumberFormat="1" applyFont="1" applyFill="1" applyBorder="1" applyAlignment="1">
      <alignment vertical="center"/>
    </xf>
    <xf numFmtId="0" fontId="23" fillId="0" borderId="0" xfId="978" applyFont="1"/>
    <xf numFmtId="0" fontId="22" fillId="0" borderId="0" xfId="978" applyFont="1"/>
    <xf numFmtId="0" fontId="22" fillId="0" borderId="0" xfId="695" applyFont="1"/>
    <xf numFmtId="0" fontId="20" fillId="0" borderId="0" xfId="695" applyFont="1"/>
    <xf numFmtId="0" fontId="10" fillId="2" borderId="7" xfId="0" applyFont="1" applyFill="1" applyBorder="1" applyAlignment="1">
      <alignment horizontal="center" vertical="top"/>
    </xf>
    <xf numFmtId="172" fontId="10" fillId="0" borderId="2" xfId="373" applyNumberFormat="1" applyFont="1" applyFill="1" applyBorder="1" applyAlignment="1">
      <alignment horizontal="left" vertical="top"/>
    </xf>
    <xf numFmtId="4" fontId="25" fillId="0" borderId="2" xfId="33" applyNumberFormat="1" applyFont="1" applyBorder="1" applyAlignment="1">
      <alignment horizontal="right" vertical="center"/>
    </xf>
    <xf numFmtId="4" fontId="20" fillId="0" borderId="2" xfId="33" applyNumberFormat="1" applyFont="1" applyBorder="1" applyAlignment="1">
      <alignment horizontal="right" vertical="center"/>
    </xf>
    <xf numFmtId="172" fontId="10" fillId="0" borderId="2" xfId="0" applyNumberFormat="1" applyFont="1" applyBorder="1" applyAlignment="1">
      <alignment horizontal="right" vertical="top"/>
    </xf>
    <xf numFmtId="0" fontId="21" fillId="0" borderId="0" xfId="973" applyFont="1" applyAlignment="1">
      <alignment horizontal="right"/>
    </xf>
    <xf numFmtId="0" fontId="21" fillId="0" borderId="0" xfId="973" applyFont="1"/>
    <xf numFmtId="4" fontId="20" fillId="4" borderId="2" xfId="976" applyNumberFormat="1" applyFont="1" applyFill="1" applyBorder="1" applyAlignment="1">
      <alignment vertical="center" wrapText="1"/>
    </xf>
    <xf numFmtId="4" fontId="25" fillId="4" borderId="2" xfId="33" applyNumberFormat="1" applyFont="1" applyFill="1" applyBorder="1" applyAlignment="1">
      <alignment horizontal="right" vertical="center"/>
    </xf>
    <xf numFmtId="4" fontId="10" fillId="0" borderId="2" xfId="0" applyNumberFormat="1" applyFont="1" applyBorder="1" applyAlignment="1">
      <alignment horizontal="right" vertical="top"/>
    </xf>
    <xf numFmtId="4" fontId="10" fillId="0" borderId="2" xfId="0" applyNumberFormat="1" applyFont="1" applyBorder="1" applyAlignment="1">
      <alignment horizontal="right" vertical="top" wrapText="1"/>
    </xf>
    <xf numFmtId="4" fontId="11" fillId="2" borderId="2" xfId="1" applyNumberFormat="1" applyFont="1" applyFill="1" applyBorder="1" applyAlignment="1">
      <alignment wrapText="1"/>
    </xf>
    <xf numFmtId="168" fontId="11" fillId="0" borderId="2" xfId="1" applyNumberFormat="1" applyFont="1" applyFill="1" applyBorder="1" applyAlignment="1">
      <alignment wrapText="1"/>
    </xf>
    <xf numFmtId="0" fontId="74" fillId="0" borderId="0" xfId="33" applyFont="1"/>
    <xf numFmtId="0" fontId="74" fillId="0" borderId="0" xfId="975" applyFont="1" applyAlignment="1">
      <alignment horizontal="left"/>
    </xf>
    <xf numFmtId="0" fontId="74" fillId="0" borderId="0" xfId="975" applyFont="1"/>
    <xf numFmtId="0" fontId="75" fillId="0" borderId="0" xfId="36" applyFont="1" applyAlignment="1">
      <alignment horizontal="left" wrapText="1"/>
    </xf>
    <xf numFmtId="0" fontId="76" fillId="0" borderId="0" xfId="36" applyFont="1"/>
    <xf numFmtId="49" fontId="22" fillId="0" borderId="0" xfId="978" applyNumberFormat="1" applyFont="1"/>
    <xf numFmtId="2" fontId="10" fillId="0" borderId="2" xfId="0" applyNumberFormat="1" applyFont="1" applyBorder="1" applyAlignment="1">
      <alignment horizontal="left" vertical="top" wrapText="1"/>
    </xf>
    <xf numFmtId="4" fontId="20" fillId="0" borderId="0" xfId="971" applyNumberFormat="1" applyFont="1" applyAlignment="1"/>
    <xf numFmtId="0" fontId="20" fillId="0" borderId="2" xfId="36" applyFont="1" applyFill="1" applyBorder="1" applyAlignment="1">
      <alignment horizontal="center" vertical="center"/>
    </xf>
    <xf numFmtId="0" fontId="74" fillId="0" borderId="0" xfId="0" applyFont="1"/>
    <xf numFmtId="0" fontId="76" fillId="0" borderId="0" xfId="0" applyFont="1" applyBorder="1" applyAlignment="1">
      <alignment horizontal="left" vertical="top"/>
    </xf>
    <xf numFmtId="0" fontId="76" fillId="0" borderId="0" xfId="1" applyFont="1"/>
    <xf numFmtId="0" fontId="74" fillId="0" borderId="0" xfId="0" applyFont="1" applyAlignment="1">
      <alignment horizontal="left" vertical="top"/>
    </xf>
    <xf numFmtId="0" fontId="76" fillId="0" borderId="0" xfId="1" applyFont="1" applyAlignment="1">
      <alignment horizontal="left" vertical="top"/>
    </xf>
    <xf numFmtId="0" fontId="76" fillId="0" borderId="0" xfId="1" applyFont="1" applyAlignment="1">
      <alignment horizontal="right" vertical="top"/>
    </xf>
    <xf numFmtId="0" fontId="74" fillId="0" borderId="0" xfId="0" applyFont="1" applyAlignment="1">
      <alignment vertical="top"/>
    </xf>
    <xf numFmtId="0" fontId="76" fillId="0" borderId="0" xfId="1" applyFont="1" applyAlignment="1">
      <alignment vertical="top" wrapText="1"/>
    </xf>
    <xf numFmtId="0" fontId="74" fillId="0" borderId="0" xfId="0" applyFont="1" applyAlignment="1">
      <alignment wrapText="1"/>
    </xf>
    <xf numFmtId="0" fontId="74" fillId="0" borderId="0" xfId="0" applyFont="1" applyAlignment="1">
      <alignment horizontal="left" vertical="top" wrapText="1"/>
    </xf>
    <xf numFmtId="0" fontId="74" fillId="0" borderId="0" xfId="0" applyFont="1" applyAlignment="1">
      <alignment vertical="top" wrapText="1"/>
    </xf>
    <xf numFmtId="0" fontId="76" fillId="0" borderId="0" xfId="0" applyFont="1" applyAlignment="1">
      <alignment horizontal="left" vertical="top"/>
    </xf>
    <xf numFmtId="4" fontId="20" fillId="0" borderId="2" xfId="977" applyNumberFormat="1" applyFont="1" applyFill="1" applyBorder="1" applyAlignment="1">
      <alignment vertical="center" wrapText="1"/>
    </xf>
    <xf numFmtId="0" fontId="20" fillId="0" borderId="2" xfId="33" applyFont="1" applyBorder="1" applyAlignment="1">
      <alignment horizontal="center" vertical="center" wrapText="1"/>
    </xf>
    <xf numFmtId="4" fontId="21" fillId="0" borderId="0" xfId="33" applyNumberFormat="1" applyFont="1"/>
    <xf numFmtId="4" fontId="22" fillId="0" borderId="0" xfId="33" applyNumberFormat="1" applyFont="1"/>
    <xf numFmtId="0" fontId="10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right" vertical="top"/>
    </xf>
    <xf numFmtId="4" fontId="10" fillId="0" borderId="2" xfId="0" applyNumberFormat="1" applyFont="1" applyFill="1" applyBorder="1" applyAlignment="1">
      <alignment horizontal="right" vertical="top" wrapText="1"/>
    </xf>
    <xf numFmtId="0" fontId="10" fillId="0" borderId="0" xfId="0" applyFont="1" applyFill="1"/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righ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74" fillId="0" borderId="0" xfId="0" applyFont="1" applyAlignment="1">
      <alignment horizontal="left" vertical="top"/>
    </xf>
    <xf numFmtId="0" fontId="74" fillId="0" borderId="0" xfId="0" applyFont="1" applyAlignment="1">
      <alignment horizontal="left" vertical="top" wrapText="1"/>
    </xf>
    <xf numFmtId="49" fontId="11" fillId="2" borderId="3" xfId="0" applyNumberFormat="1" applyFont="1" applyFill="1" applyBorder="1" applyAlignment="1">
      <alignment horizontal="right" vertical="top"/>
    </xf>
    <xf numFmtId="49" fontId="11" fillId="2" borderId="5" xfId="0" applyNumberFormat="1" applyFont="1" applyFill="1" applyBorder="1" applyAlignment="1">
      <alignment horizontal="right" vertical="top"/>
    </xf>
    <xf numFmtId="0" fontId="11" fillId="0" borderId="3" xfId="1" applyFont="1" applyBorder="1" applyAlignment="1">
      <alignment horizontal="left" wrapText="1"/>
    </xf>
    <xf numFmtId="0" fontId="11" fillId="0" borderId="4" xfId="1" applyFont="1" applyBorder="1" applyAlignment="1">
      <alignment horizontal="left" wrapText="1"/>
    </xf>
    <xf numFmtId="0" fontId="11" fillId="0" borderId="5" xfId="1" applyFont="1" applyBorder="1" applyAlignment="1">
      <alignment horizontal="left" wrapText="1"/>
    </xf>
    <xf numFmtId="0" fontId="11" fillId="0" borderId="3" xfId="1" applyFont="1" applyBorder="1" applyAlignment="1">
      <alignment horizontal="right" wrapText="1"/>
    </xf>
    <xf numFmtId="0" fontId="11" fillId="0" borderId="4" xfId="1" applyFont="1" applyBorder="1" applyAlignment="1">
      <alignment horizontal="right" wrapText="1"/>
    </xf>
    <xf numFmtId="0" fontId="11" fillId="0" borderId="5" xfId="1" applyFont="1" applyBorder="1" applyAlignment="1">
      <alignment horizontal="right" wrapText="1"/>
    </xf>
    <xf numFmtId="0" fontId="28" fillId="0" borderId="0" xfId="33" applyFont="1" applyAlignment="1">
      <alignment horizontal="center" wrapText="1"/>
    </xf>
    <xf numFmtId="0" fontId="20" fillId="0" borderId="2" xfId="33" applyFont="1" applyBorder="1" applyAlignment="1">
      <alignment horizontal="center" vertical="center" wrapText="1"/>
    </xf>
    <xf numFmtId="0" fontId="6" fillId="0" borderId="2" xfId="33" applyBorder="1" applyAlignment="1">
      <alignment horizontal="center" vertical="center" wrapText="1"/>
    </xf>
    <xf numFmtId="0" fontId="20" fillId="0" borderId="6" xfId="33" applyFont="1" applyBorder="1" applyAlignment="1">
      <alignment horizontal="center" vertical="center"/>
    </xf>
    <xf numFmtId="0" fontId="20" fillId="0" borderId="7" xfId="33" applyFont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77" fillId="0" borderId="0" xfId="0" applyFont="1" applyFill="1" applyAlignment="1">
      <alignment horizontal="left"/>
    </xf>
    <xf numFmtId="0" fontId="75" fillId="0" borderId="0" xfId="36" applyFont="1" applyAlignment="1">
      <alignment horizontal="left" wrapText="1"/>
    </xf>
    <xf numFmtId="0" fontId="73" fillId="0" borderId="0" xfId="33" applyFont="1" applyAlignment="1">
      <alignment horizontal="left" wrapText="1"/>
    </xf>
    <xf numFmtId="0" fontId="73" fillId="0" borderId="0" xfId="975" applyFont="1" applyAlignment="1">
      <alignment horizontal="left"/>
    </xf>
    <xf numFmtId="0" fontId="20" fillId="0" borderId="2" xfId="33" applyFont="1" applyBorder="1" applyAlignment="1">
      <alignment horizontal="center"/>
    </xf>
    <xf numFmtId="0" fontId="22" fillId="0" borderId="2" xfId="33" applyFont="1" applyFill="1" applyBorder="1" applyAlignment="1">
      <alignment horizontal="center" vertical="center" wrapText="1"/>
    </xf>
    <xf numFmtId="0" fontId="24" fillId="0" borderId="0" xfId="33" applyFont="1" applyAlignment="1">
      <alignment vertical="top" wrapText="1"/>
    </xf>
    <xf numFmtId="0" fontId="25" fillId="0" borderId="0" xfId="971" applyFont="1" applyBorder="1" applyAlignment="1">
      <alignment horizontal="right" wrapText="1"/>
    </xf>
    <xf numFmtId="0" fontId="25" fillId="0" borderId="2" xfId="33" applyFont="1" applyBorder="1" applyAlignment="1">
      <alignment horizontal="left" vertical="center" wrapText="1"/>
    </xf>
  </cellXfs>
  <cellStyles count="979">
    <cellStyle name=" 1" xfId="42"/>
    <cellStyle name=" 1 2" xfId="43"/>
    <cellStyle name=" 1 3" xfId="44"/>
    <cellStyle name="_2010 СТРУКТУРА СВОД" xfId="45"/>
    <cellStyle name="_2010 СТРУКТУРА-с зарпл." xfId="46"/>
    <cellStyle name="_4.1 и 5 Финпланы" xfId="47"/>
    <cellStyle name="_4.1 и 5 Финпланы (1)" xfId="48"/>
    <cellStyle name="_Copy of ДРСК_1" xfId="49"/>
    <cellStyle name="_ГКПЗ 09 по типам закупки" xfId="50"/>
    <cellStyle name="_ДРСК, ИПР 2010 Приложение 1свод" xfId="51"/>
    <cellStyle name="_Инвест-структура 2011 26.10.10" xfId="52"/>
    <cellStyle name="_Инвест-структура_ХЭС_22.10.2010" xfId="53"/>
    <cellStyle name="_Инвест-структура_ХЭС_29.10.2010" xfId="54"/>
    <cellStyle name="_ИПР 2011-2017  ХЭС  от 21.02.12" xfId="55"/>
    <cellStyle name="_ИПР 2011-2017 ХЭС  10.01.12 ПРАВИЛЬНЫЙ" xfId="56"/>
    <cellStyle name="_ИПР 2011-2017 ХЭС 16.12.11 на РАО" xfId="57"/>
    <cellStyle name="_ИПР 2012 ХЭС  12.01.12" xfId="58"/>
    <cellStyle name="_ИПР 2014-2018 ХЭС 06.12.12" xfId="59"/>
    <cellStyle name="_Книга2" xfId="60"/>
    <cellStyle name="_Книга4" xfId="61"/>
    <cellStyle name="_Лист1" xfId="62"/>
    <cellStyle name="_Лист2" xfId="63"/>
    <cellStyle name="_Модель Стратегия Ленэнерго_3" xfId="64"/>
    <cellStyle name="_Прил 14 ( 29 ноября)" xfId="65"/>
    <cellStyle name="_Прил 25а_ЕАО_25.12.2009" xfId="66"/>
    <cellStyle name="_Прил 25а_свод_02.11.2009" xfId="67"/>
    <cellStyle name="_Прил 4.1, 4.3 ИПР 2013-2017 24.01.12 СЕМЫКИН" xfId="68"/>
    <cellStyle name="_Прил 4_21.04.2009_СВОД" xfId="69"/>
    <cellStyle name="_Прил. 1.2, 2.2" xfId="70"/>
    <cellStyle name="_прил. 1.4" xfId="71"/>
    <cellStyle name="_Прил.1 Финансирование ИПР 2011-2013" xfId="72"/>
    <cellStyle name="_Прил.10 Отчет об исполнении  финплана 2009-2010" xfId="73"/>
    <cellStyle name="_Прил.4 Отчет об источниках финансирования ИПР 2009-2010 ХЭС" xfId="74"/>
    <cellStyle name="_Прил.9 Финплан 2011-2013" xfId="75"/>
    <cellStyle name="_Прилож. Л к регл. РАО ХЭС 28.11.11 1" xfId="76"/>
    <cellStyle name="_Приложение  2.2; 2.3 ИПР 2013 25.12.12" xfId="77"/>
    <cellStyle name="_Приложение 1 - ЮЯ 2010-2012 гг." xfId="78"/>
    <cellStyle name="_Приложение 1.2_ЮЯ" xfId="79"/>
    <cellStyle name="_Приложение 1.4 ИПР 2013г. ХЭС 21.12.12" xfId="80"/>
    <cellStyle name="_Приложение 14" xfId="81"/>
    <cellStyle name="_Приложение 14 ИПР 2013г. ХЭС 24.12.12" xfId="82"/>
    <cellStyle name="_Приложение 2 (3 вариант)" xfId="83"/>
    <cellStyle name="_Приложение 2 в формате Приложения 8" xfId="84"/>
    <cellStyle name="_Приложение 2 фин. модель ДРСК 01.03.2011 г." xfId="85"/>
    <cellStyle name="_Приложение 4 от 11.01.10" xfId="86"/>
    <cellStyle name="_Приложение 5 ИПР 2013-2017" xfId="87"/>
    <cellStyle name="_Приложение 6" xfId="88"/>
    <cellStyle name="_Приложение 6.1_ЕАО от Артура" xfId="89"/>
    <cellStyle name="_Приложение 7.1" xfId="90"/>
    <cellStyle name="_Приложение 8а" xfId="91"/>
    <cellStyle name="_Приложение №1" xfId="92"/>
    <cellStyle name="_Приложение Ж (инвест.стр-ра)" xfId="93"/>
    <cellStyle name="_Приложения  4.1 ОАО ДРСК,4.2 ХЭС" xfId="94"/>
    <cellStyle name="_Приложения 11 г. ХЭС 28.03.11 утв. Чудовым" xfId="95"/>
    <cellStyle name="_Приложения на Прав-во ХЭС 12.01.12" xfId="96"/>
    <cellStyle name="_Расчет стоимости 1км трубопровода" xfId="5"/>
    <cellStyle name="_таблица 14 ЕАО." xfId="97"/>
    <cellStyle name="_таблица 14 Перечень ИПР и план финансирования 2010г ЕАО." xfId="98"/>
    <cellStyle name="_Услуги ТПиР" xfId="99"/>
    <cellStyle name="_ф 2ГД - форма отчета ГД по закупкам (по видам закупок)" xfId="100"/>
    <cellStyle name="_Финплан ДРСК 2011-2013 17.02.10 Семыкин" xfId="101"/>
    <cellStyle name="_ЮЯ_РАО ЭСВ (1)" xfId="102"/>
    <cellStyle name="20% - Акцент1 2" xfId="103"/>
    <cellStyle name="20% - Акцент1 2 2" xfId="104"/>
    <cellStyle name="20% - Акцент1 2 2 2" xfId="105"/>
    <cellStyle name="20% - Акцент1 2 3" xfId="106"/>
    <cellStyle name="20% - Акцент1 3" xfId="107"/>
    <cellStyle name="20% - Акцент1 3 2" xfId="108"/>
    <cellStyle name="20% - Акцент1 3 2 2" xfId="109"/>
    <cellStyle name="20% - Акцент1 3 3" xfId="110"/>
    <cellStyle name="20% - Акцент1 4" xfId="111"/>
    <cellStyle name="20% - Акцент1 4 2" xfId="112"/>
    <cellStyle name="20% - Акцент2 2" xfId="113"/>
    <cellStyle name="20% - Акцент2 2 2" xfId="114"/>
    <cellStyle name="20% - Акцент2 2 2 2" xfId="115"/>
    <cellStyle name="20% - Акцент2 2 3" xfId="116"/>
    <cellStyle name="20% - Акцент2 3" xfId="117"/>
    <cellStyle name="20% - Акцент2 3 2" xfId="118"/>
    <cellStyle name="20% - Акцент2 3 2 2" xfId="119"/>
    <cellStyle name="20% - Акцент2 3 3" xfId="120"/>
    <cellStyle name="20% - Акцент2 4" xfId="121"/>
    <cellStyle name="20% - Акцент2 4 2" xfId="122"/>
    <cellStyle name="20% - Акцент3 2" xfId="123"/>
    <cellStyle name="20% - Акцент3 2 2" xfId="124"/>
    <cellStyle name="20% - Акцент3 2 2 2" xfId="125"/>
    <cellStyle name="20% - Акцент3 2 3" xfId="126"/>
    <cellStyle name="20% - Акцент3 3" xfId="127"/>
    <cellStyle name="20% - Акцент3 3 2" xfId="128"/>
    <cellStyle name="20% - Акцент3 3 2 2" xfId="129"/>
    <cellStyle name="20% - Акцент3 3 3" xfId="130"/>
    <cellStyle name="20% - Акцент3 4" xfId="131"/>
    <cellStyle name="20% - Акцент3 4 2" xfId="132"/>
    <cellStyle name="20% - Акцент4 2" xfId="133"/>
    <cellStyle name="20% - Акцент4 2 2" xfId="134"/>
    <cellStyle name="20% - Акцент4 2 2 2" xfId="135"/>
    <cellStyle name="20% - Акцент4 2 3" xfId="136"/>
    <cellStyle name="20% - Акцент4 3" xfId="137"/>
    <cellStyle name="20% - Акцент4 3 2" xfId="138"/>
    <cellStyle name="20% - Акцент4 3 2 2" xfId="139"/>
    <cellStyle name="20% - Акцент4 3 3" xfId="140"/>
    <cellStyle name="20% - Акцент4 4" xfId="141"/>
    <cellStyle name="20% - Акцент4 4 2" xfId="142"/>
    <cellStyle name="20% - Акцент5 2" xfId="143"/>
    <cellStyle name="20% - Акцент5 2 2" xfId="144"/>
    <cellStyle name="20% - Акцент5 2 2 2" xfId="145"/>
    <cellStyle name="20% - Акцент5 2 3" xfId="146"/>
    <cellStyle name="20% - Акцент5 3" xfId="147"/>
    <cellStyle name="20% - Акцент5 3 2" xfId="148"/>
    <cellStyle name="20% - Акцент6 2" xfId="149"/>
    <cellStyle name="20% - Акцент6 2 2" xfId="150"/>
    <cellStyle name="20% - Акцент6 2 2 2" xfId="151"/>
    <cellStyle name="20% - Акцент6 2 3" xfId="152"/>
    <cellStyle name="20% - Акцент6 3" xfId="153"/>
    <cellStyle name="20% - Акцент6 3 2" xfId="154"/>
    <cellStyle name="40% - Акцент1 2" xfId="155"/>
    <cellStyle name="40% - Акцент1 2 2" xfId="156"/>
    <cellStyle name="40% - Акцент1 2 2 2" xfId="157"/>
    <cellStyle name="40% - Акцент1 2 3" xfId="158"/>
    <cellStyle name="40% - Акцент1 3" xfId="159"/>
    <cellStyle name="40% - Акцент1 3 2" xfId="160"/>
    <cellStyle name="40% - Акцент1 3 2 2" xfId="161"/>
    <cellStyle name="40% - Акцент1 3 3" xfId="162"/>
    <cellStyle name="40% - Акцент1 4" xfId="163"/>
    <cellStyle name="40% - Акцент1 4 2" xfId="164"/>
    <cellStyle name="40% - Акцент2 2" xfId="165"/>
    <cellStyle name="40% - Акцент2 2 2" xfId="166"/>
    <cellStyle name="40% - Акцент2 2 2 2" xfId="167"/>
    <cellStyle name="40% - Акцент2 2 3" xfId="168"/>
    <cellStyle name="40% - Акцент2 3" xfId="169"/>
    <cellStyle name="40% - Акцент2 3 2" xfId="170"/>
    <cellStyle name="40% - Акцент3 2" xfId="171"/>
    <cellStyle name="40% - Акцент3 2 2" xfId="172"/>
    <cellStyle name="40% - Акцент3 2 2 2" xfId="173"/>
    <cellStyle name="40% - Акцент3 2 3" xfId="174"/>
    <cellStyle name="40% - Акцент3 3" xfId="175"/>
    <cellStyle name="40% - Акцент3 3 2" xfId="176"/>
    <cellStyle name="40% - Акцент3 3 2 2" xfId="177"/>
    <cellStyle name="40% - Акцент3 3 3" xfId="178"/>
    <cellStyle name="40% - Акцент3 4" xfId="179"/>
    <cellStyle name="40% - Акцент3 4 2" xfId="180"/>
    <cellStyle name="40% - Акцент4 2" xfId="181"/>
    <cellStyle name="40% - Акцент4 2 2" xfId="182"/>
    <cellStyle name="40% - Акцент4 2 2 2" xfId="183"/>
    <cellStyle name="40% - Акцент4 2 3" xfId="184"/>
    <cellStyle name="40% - Акцент4 3" xfId="185"/>
    <cellStyle name="40% - Акцент4 3 2" xfId="186"/>
    <cellStyle name="40% - Акцент4 3 2 2" xfId="187"/>
    <cellStyle name="40% - Акцент4 3 3" xfId="188"/>
    <cellStyle name="40% - Акцент4 4" xfId="189"/>
    <cellStyle name="40% - Акцент4 4 2" xfId="190"/>
    <cellStyle name="40% - Акцент5 2" xfId="191"/>
    <cellStyle name="40% - Акцент5 2 2" xfId="192"/>
    <cellStyle name="40% - Акцент5 2 2 2" xfId="193"/>
    <cellStyle name="40% - Акцент5 2 3" xfId="194"/>
    <cellStyle name="40% - Акцент5 3" xfId="195"/>
    <cellStyle name="40% - Акцент5 3 2" xfId="196"/>
    <cellStyle name="40% - Акцент6 2" xfId="197"/>
    <cellStyle name="40% - Акцент6 2 2" xfId="198"/>
    <cellStyle name="40% - Акцент6 2 2 2" xfId="199"/>
    <cellStyle name="40% - Акцент6 2 3" xfId="200"/>
    <cellStyle name="40% - Акцент6 3" xfId="201"/>
    <cellStyle name="40% - Акцент6 3 2" xfId="202"/>
    <cellStyle name="40% - Акцент6 3 2 2" xfId="203"/>
    <cellStyle name="40% - Акцент6 3 3" xfId="204"/>
    <cellStyle name="40% - Акцент6 4" xfId="205"/>
    <cellStyle name="40% - Акцент6 4 2" xfId="206"/>
    <cellStyle name="60% - Акцент1 2" xfId="207"/>
    <cellStyle name="60% - Акцент1 2 2" xfId="208"/>
    <cellStyle name="60% - Акцент1 2 2 2" xfId="209"/>
    <cellStyle name="60% - Акцент1 2 3" xfId="210"/>
    <cellStyle name="60% - Акцент1 3" xfId="211"/>
    <cellStyle name="60% - Акцент2 2" xfId="212"/>
    <cellStyle name="60% - Акцент2 2 2" xfId="213"/>
    <cellStyle name="60% - Акцент2 2 2 2" xfId="214"/>
    <cellStyle name="60% - Акцент2 2 3" xfId="215"/>
    <cellStyle name="60% - Акцент2 3" xfId="216"/>
    <cellStyle name="60% - Акцент3 2" xfId="217"/>
    <cellStyle name="60% - Акцент3 2 2" xfId="218"/>
    <cellStyle name="60% - Акцент3 2 2 2" xfId="219"/>
    <cellStyle name="60% - Акцент3 2 3" xfId="220"/>
    <cellStyle name="60% - Акцент3 3" xfId="221"/>
    <cellStyle name="60% - Акцент4 2" xfId="222"/>
    <cellStyle name="60% - Акцент4 2 2" xfId="223"/>
    <cellStyle name="60% - Акцент4 2 2 2" xfId="224"/>
    <cellStyle name="60% - Акцент4 2 3" xfId="225"/>
    <cellStyle name="60% - Акцент4 3" xfId="226"/>
    <cellStyle name="60% - Акцент5 2" xfId="227"/>
    <cellStyle name="60% - Акцент5 2 2" xfId="228"/>
    <cellStyle name="60% - Акцент5 2 2 2" xfId="229"/>
    <cellStyle name="60% - Акцент5 2 3" xfId="230"/>
    <cellStyle name="60% - Акцент5 3" xfId="231"/>
    <cellStyle name="60% - Акцент6 2" xfId="232"/>
    <cellStyle name="60% - Акцент6 2 2" xfId="233"/>
    <cellStyle name="60% - Акцент6 2 2 2" xfId="234"/>
    <cellStyle name="60% - Акцент6 2 3" xfId="235"/>
    <cellStyle name="60% - Акцент6 3" xfId="236"/>
    <cellStyle name="Assumption" xfId="237"/>
    <cellStyle name="Comma [0]" xfId="6"/>
    <cellStyle name="Comma_laroux" xfId="7"/>
    <cellStyle name="Currency [0]" xfId="8"/>
    <cellStyle name="Currency_laroux" xfId="9"/>
    <cellStyle name="Dates" xfId="238"/>
    <cellStyle name="E-mail" xfId="239"/>
    <cellStyle name="Heading" xfId="240"/>
    <cellStyle name="Heading2" xfId="241"/>
    <cellStyle name="Inputs" xfId="242"/>
    <cellStyle name="Normal_Attachement No.1" xfId="10"/>
    <cellStyle name="S1" xfId="11"/>
    <cellStyle name="Table Heading" xfId="243"/>
    <cellStyle name="TableStyleLight1" xfId="244"/>
    <cellStyle name="TableStyleLight1 2" xfId="245"/>
    <cellStyle name="TableStyleLight1 3" xfId="246"/>
    <cellStyle name="Telephone number" xfId="247"/>
    <cellStyle name="Акт" xfId="248"/>
    <cellStyle name="АктМТСН" xfId="249"/>
    <cellStyle name="Акцент1 2" xfId="250"/>
    <cellStyle name="Акцент1 2 2" xfId="251"/>
    <cellStyle name="Акцент1 2 2 2" xfId="252"/>
    <cellStyle name="Акцент1 2 3" xfId="253"/>
    <cellStyle name="Акцент1 3" xfId="254"/>
    <cellStyle name="Акцент2 2" xfId="255"/>
    <cellStyle name="Акцент2 2 2" xfId="256"/>
    <cellStyle name="Акцент2 2 2 2" xfId="257"/>
    <cellStyle name="Акцент2 2 3" xfId="258"/>
    <cellStyle name="Акцент2 3" xfId="259"/>
    <cellStyle name="Акцент3 2" xfId="260"/>
    <cellStyle name="Акцент3 2 2" xfId="261"/>
    <cellStyle name="Акцент3 2 2 2" xfId="262"/>
    <cellStyle name="Акцент3 2 3" xfId="263"/>
    <cellStyle name="Акцент3 3" xfId="264"/>
    <cellStyle name="Акцент4 2" xfId="265"/>
    <cellStyle name="Акцент4 2 2" xfId="266"/>
    <cellStyle name="Акцент4 2 2 2" xfId="267"/>
    <cellStyle name="Акцент4 2 3" xfId="268"/>
    <cellStyle name="Акцент4 3" xfId="269"/>
    <cellStyle name="Акцент5 2" xfId="270"/>
    <cellStyle name="Акцент5 2 2" xfId="271"/>
    <cellStyle name="Акцент5 2 2 2" xfId="272"/>
    <cellStyle name="Акцент5 2 3" xfId="273"/>
    <cellStyle name="Акцент5 3" xfId="274"/>
    <cellStyle name="Акцент6 2" xfId="275"/>
    <cellStyle name="Акцент6 2 2" xfId="276"/>
    <cellStyle name="Акцент6 2 2 2" xfId="277"/>
    <cellStyle name="Акцент6 2 3" xfId="278"/>
    <cellStyle name="Акцент6 3" xfId="279"/>
    <cellStyle name="Ввод  2" xfId="280"/>
    <cellStyle name="Ввод  2 2" xfId="281"/>
    <cellStyle name="Ввод  2 2 2" xfId="282"/>
    <cellStyle name="Ввод  2 2 2 2" xfId="283"/>
    <cellStyle name="Ввод  2 2 3" xfId="284"/>
    <cellStyle name="Ввод  2 3" xfId="285"/>
    <cellStyle name="Ввод  2 3 2" xfId="286"/>
    <cellStyle name="Ввод  2 3 3" xfId="287"/>
    <cellStyle name="Ввод  2 4" xfId="288"/>
    <cellStyle name="Ввод  2 5" xfId="289"/>
    <cellStyle name="Ввод  3" xfId="290"/>
    <cellStyle name="ВедРесурсов" xfId="291"/>
    <cellStyle name="ВедРесурсовАкт" xfId="292"/>
    <cellStyle name="Вывод 2" xfId="293"/>
    <cellStyle name="Вывод 2 2" xfId="294"/>
    <cellStyle name="Вывод 2 2 2" xfId="295"/>
    <cellStyle name="Вывод 2 2 2 2" xfId="296"/>
    <cellStyle name="Вывод 2 3" xfId="297"/>
    <cellStyle name="Вывод 2 3 2" xfId="298"/>
    <cellStyle name="Вывод 2 3 3" xfId="299"/>
    <cellStyle name="Вывод 2 4" xfId="300"/>
    <cellStyle name="Вывод 2 5" xfId="301"/>
    <cellStyle name="Вывод 3" xfId="302"/>
    <cellStyle name="Вывод 3 2" xfId="303"/>
    <cellStyle name="Вычисление 2" xfId="304"/>
    <cellStyle name="Вычисление 2 2" xfId="305"/>
    <cellStyle name="Вычисление 2 2 2" xfId="306"/>
    <cellStyle name="Вычисление 2 2 2 2" xfId="307"/>
    <cellStyle name="Вычисление 2 2 3" xfId="308"/>
    <cellStyle name="Вычисление 2 3" xfId="309"/>
    <cellStyle name="Вычисление 2 3 2" xfId="310"/>
    <cellStyle name="Вычисление 2 3 3" xfId="311"/>
    <cellStyle name="Вычисление 2 4" xfId="312"/>
    <cellStyle name="Вычисление 2 5" xfId="313"/>
    <cellStyle name="Вычисление 3" xfId="314"/>
    <cellStyle name="Вычисление 3 2" xfId="315"/>
    <cellStyle name="Денежный 2" xfId="12"/>
    <cellStyle name="Заголовок" xfId="316"/>
    <cellStyle name="Заголовок 1 2" xfId="317"/>
    <cellStyle name="Заголовок 1 2 2" xfId="318"/>
    <cellStyle name="Заголовок 1 2 3" xfId="319"/>
    <cellStyle name="Заголовок 1 3" xfId="320"/>
    <cellStyle name="Заголовок 2 2" xfId="321"/>
    <cellStyle name="Заголовок 2 2 2" xfId="322"/>
    <cellStyle name="Заголовок 2 2 3" xfId="323"/>
    <cellStyle name="Заголовок 2 3" xfId="324"/>
    <cellStyle name="Заголовок 3 2" xfId="325"/>
    <cellStyle name="Заголовок 3 2 2" xfId="326"/>
    <cellStyle name="Заголовок 3 2 3" xfId="327"/>
    <cellStyle name="Заголовок 3 3" xfId="328"/>
    <cellStyle name="Заголовок 4 2" xfId="329"/>
    <cellStyle name="Заголовок 4 2 2" xfId="330"/>
    <cellStyle name="Заголовок 4 2 3" xfId="331"/>
    <cellStyle name="Заголовок 4 3" xfId="332"/>
    <cellStyle name="ЗаголовокСтолбца" xfId="333"/>
    <cellStyle name="Значение" xfId="334"/>
    <cellStyle name="Значение 2" xfId="335"/>
    <cellStyle name="Значение 2 2" xfId="336"/>
    <cellStyle name="Значение 3" xfId="337"/>
    <cellStyle name="Индексы" xfId="338"/>
    <cellStyle name="Итог 2" xfId="339"/>
    <cellStyle name="Итог 2 2" xfId="340"/>
    <cellStyle name="Итог 2 2 2" xfId="341"/>
    <cellStyle name="Итог 2 2 2 2" xfId="342"/>
    <cellStyle name="Итог 2 2 3" xfId="343"/>
    <cellStyle name="Итог 2 3" xfId="344"/>
    <cellStyle name="Итог 2 3 2" xfId="345"/>
    <cellStyle name="Итог 2 4" xfId="346"/>
    <cellStyle name="Итог 2 5" xfId="347"/>
    <cellStyle name="Итог 3" xfId="348"/>
    <cellStyle name="Итог 3 2" xfId="349"/>
    <cellStyle name="Итоги" xfId="13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2 2" xfId="358"/>
    <cellStyle name="Контрольная ячейка 2 3" xfId="359"/>
    <cellStyle name="Контрольная ячейка 3" xfId="360"/>
    <cellStyle name="ЛокСмета" xfId="14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2 2" xfId="369"/>
    <cellStyle name="Нейтральный 2 3" xfId="370"/>
    <cellStyle name="Нейтральный 3" xfId="371"/>
    <cellStyle name="ОбСмета" xfId="372"/>
    <cellStyle name="Обычный" xfId="0" builtinId="0"/>
    <cellStyle name="Обычный 10" xfId="373"/>
    <cellStyle name="Обычный 10 2" xfId="374"/>
    <cellStyle name="Обычный 10 2 2" xfId="375"/>
    <cellStyle name="Обычный 10 2 2 2" xfId="376"/>
    <cellStyle name="Обычный 10 2 2 2 2" xfId="377"/>
    <cellStyle name="Обычный 10 2 2 2 2 2" xfId="378"/>
    <cellStyle name="Обычный 10 2 2 2 2 3" xfId="379"/>
    <cellStyle name="Обычный 10 2 2 2 3" xfId="380"/>
    <cellStyle name="Обычный 10 2 2 2 3 2" xfId="381"/>
    <cellStyle name="Обычный 10 2 2 2 3 3" xfId="382"/>
    <cellStyle name="Обычный 10 2 2 2 4" xfId="383"/>
    <cellStyle name="Обычный 10 2 2 2 5" xfId="384"/>
    <cellStyle name="Обычный 10 2 2 3" xfId="385"/>
    <cellStyle name="Обычный 10 2 2 3 2" xfId="386"/>
    <cellStyle name="Обычный 10 2 2 3 3" xfId="387"/>
    <cellStyle name="Обычный 10 2 2 4" xfId="388"/>
    <cellStyle name="Обычный 10 2 2 4 2" xfId="389"/>
    <cellStyle name="Обычный 10 2 2 4 3" xfId="390"/>
    <cellStyle name="Обычный 10 2 2 5" xfId="391"/>
    <cellStyle name="Обычный 10 2 2 6" xfId="392"/>
    <cellStyle name="Обычный 10 2 3" xfId="393"/>
    <cellStyle name="Обычный 10 2 3 2" xfId="394"/>
    <cellStyle name="Обычный 10 2 3 2 2" xfId="395"/>
    <cellStyle name="Обычный 10 2 3 2 3" xfId="396"/>
    <cellStyle name="Обычный 10 2 3 3" xfId="397"/>
    <cellStyle name="Обычный 10 2 3 3 2" xfId="398"/>
    <cellStyle name="Обычный 10 2 3 3 3" xfId="399"/>
    <cellStyle name="Обычный 10 2 3 4" xfId="400"/>
    <cellStyle name="Обычный 10 2 3 5" xfId="401"/>
    <cellStyle name="Обычный 10 2 4" xfId="402"/>
    <cellStyle name="Обычный 10 2 5" xfId="403"/>
    <cellStyle name="Обычный 10 2 5 2" xfId="404"/>
    <cellStyle name="Обычный 10 2 5 3" xfId="405"/>
    <cellStyle name="Обычный 10 3" xfId="406"/>
    <cellStyle name="Обычный 10 3 2" xfId="407"/>
    <cellStyle name="Обычный 10 3 2 2" xfId="408"/>
    <cellStyle name="Обычный 10 3 2 2 2" xfId="409"/>
    <cellStyle name="Обычный 10 3 2 2 3" xfId="410"/>
    <cellStyle name="Обычный 10 3 2 3" xfId="411"/>
    <cellStyle name="Обычный 10 3 2 3 2" xfId="412"/>
    <cellStyle name="Обычный 10 3 2 3 3" xfId="413"/>
    <cellStyle name="Обычный 10 3 2 4" xfId="414"/>
    <cellStyle name="Обычный 10 3 2 5" xfId="415"/>
    <cellStyle name="Обычный 10 3 3" xfId="416"/>
    <cellStyle name="Обычный 10 3 4" xfId="417"/>
    <cellStyle name="Обычный 10 3 4 2" xfId="418"/>
    <cellStyle name="Обычный 10 3 4 3" xfId="419"/>
    <cellStyle name="Обычный 10 3 5" xfId="420"/>
    <cellStyle name="Обычный 10 3 5 2" xfId="421"/>
    <cellStyle name="Обычный 10 3 5 3" xfId="422"/>
    <cellStyle name="Обычный 10 3 6" xfId="423"/>
    <cellStyle name="Обычный 10 3 7" xfId="424"/>
    <cellStyle name="Обычный 10 4" xfId="425"/>
    <cellStyle name="Обычный 10 4 2" xfId="426"/>
    <cellStyle name="Обычный 10 4 2 2" xfId="427"/>
    <cellStyle name="Обычный 10 4 2 3" xfId="428"/>
    <cellStyle name="Обычный 10 4 3" xfId="429"/>
    <cellStyle name="Обычный 10 4 3 2" xfId="430"/>
    <cellStyle name="Обычный 10 4 3 3" xfId="431"/>
    <cellStyle name="Обычный 10 4 4" xfId="432"/>
    <cellStyle name="Обычный 10 4 5" xfId="433"/>
    <cellStyle name="Обычный 11" xfId="434"/>
    <cellStyle name="Обычный 11 2" xfId="435"/>
    <cellStyle name="Обычный 11 3" xfId="436"/>
    <cellStyle name="Обычный 11 3 2" xfId="437"/>
    <cellStyle name="Обычный 11 3 2 2" xfId="438"/>
    <cellStyle name="Обычный 11 3 2 3" xfId="439"/>
    <cellStyle name="Обычный 11 3 3" xfId="440"/>
    <cellStyle name="Обычный 11 3 3 2" xfId="441"/>
    <cellStyle name="Обычный 11 3 3 3" xfId="442"/>
    <cellStyle name="Обычный 11 3 4" xfId="443"/>
    <cellStyle name="Обычный 11 3 4 2" xfId="444"/>
    <cellStyle name="Обычный 11 3 4 3" xfId="445"/>
    <cellStyle name="Обычный 11 3 5" xfId="446"/>
    <cellStyle name="Обычный 11 3 6" xfId="447"/>
    <cellStyle name="Обычный 11 4" xfId="448"/>
    <cellStyle name="Обычный 11 4 2" xfId="449"/>
    <cellStyle name="Обычный 12" xfId="450"/>
    <cellStyle name="Обычный 12 2" xfId="35"/>
    <cellStyle name="Обычный 12 3" xfId="451"/>
    <cellStyle name="Обычный 12 3 2" xfId="452"/>
    <cellStyle name="Обычный 12 4" xfId="453"/>
    <cellStyle name="Обычный 12 5" xfId="454"/>
    <cellStyle name="Обычный 12 5 2" xfId="455"/>
    <cellStyle name="Обычный 12 5 2 2" xfId="456"/>
    <cellStyle name="Обычный 12 5 2 3" xfId="457"/>
    <cellStyle name="Обычный 12 5 3" xfId="458"/>
    <cellStyle name="Обычный 12 5 4" xfId="459"/>
    <cellStyle name="Обычный 12 6" xfId="460"/>
    <cellStyle name="Обычный 12 6 2" xfId="461"/>
    <cellStyle name="Обычный 12 6 3" xfId="462"/>
    <cellStyle name="Обычный 12 7" xfId="463"/>
    <cellStyle name="Обычный 12 7 2" xfId="464"/>
    <cellStyle name="Обычный 12 7 3" xfId="465"/>
    <cellStyle name="Обычный 12 8" xfId="466"/>
    <cellStyle name="Обычный 12 9" xfId="467"/>
    <cellStyle name="Обычный 13" xfId="468"/>
    <cellStyle name="Обычный 13 2" xfId="469"/>
    <cellStyle name="Обычный 13 3" xfId="470"/>
    <cellStyle name="Обычный 14" xfId="471"/>
    <cellStyle name="Обычный 14 2" xfId="472"/>
    <cellStyle name="Обычный 15" xfId="473"/>
    <cellStyle name="Обычный 15 2" xfId="474"/>
    <cellStyle name="Обычный 15 3" xfId="475"/>
    <cellStyle name="Обычный 15 4" xfId="476"/>
    <cellStyle name="Обычный 15 4 2" xfId="477"/>
    <cellStyle name="Обычный 16" xfId="478"/>
    <cellStyle name="Обычный 17" xfId="479"/>
    <cellStyle name="Обычный 17 2" xfId="480"/>
    <cellStyle name="Обычный 18" xfId="481"/>
    <cellStyle name="Обычный 18 2" xfId="482"/>
    <cellStyle name="Обычный 18 3" xfId="483"/>
    <cellStyle name="Обычный 19" xfId="484"/>
    <cellStyle name="Обычный 19 2" xfId="485"/>
    <cellStyle name="Обычный 2" xfId="1"/>
    <cellStyle name="Обычный 2 10" xfId="486"/>
    <cellStyle name="Обычный 2 2" xfId="15"/>
    <cellStyle name="Обычный 2 2 2" xfId="487"/>
    <cellStyle name="Обычный 2 2 2 2" xfId="488"/>
    <cellStyle name="Обычный 2 2 2 2 2" xfId="489"/>
    <cellStyle name="Обычный 2 2 2 3" xfId="490"/>
    <cellStyle name="Обычный 2 2 3" xfId="491"/>
    <cellStyle name="Обычный 2 3" xfId="4"/>
    <cellStyle name="Обычный 2 3 2" xfId="492"/>
    <cellStyle name="Обычный 2 3 3" xfId="493"/>
    <cellStyle name="Обычный 2 3_к селектору 26 06 13 (ИПР ПЭС) рабочий (2)" xfId="494"/>
    <cellStyle name="Обычный 2 4" xfId="33"/>
    <cellStyle name="Обычный 2 4 2" xfId="495"/>
    <cellStyle name="Обычный 2 4 2 2" xfId="496"/>
    <cellStyle name="Обычный 2 4 2 2 2" xfId="497"/>
    <cellStyle name="Обычный 2 4 2 2 3" xfId="498"/>
    <cellStyle name="Обычный 2 4 2 3" xfId="499"/>
    <cellStyle name="Обычный 2 4 2 4" xfId="500"/>
    <cellStyle name="Обычный 2 4 3" xfId="973"/>
    <cellStyle name="Обычный 2 5" xfId="501"/>
    <cellStyle name="Обычный 2 5 2" xfId="502"/>
    <cellStyle name="Обычный 2 5 2 2" xfId="503"/>
    <cellStyle name="Обычный 2 5 2 2 2" xfId="504"/>
    <cellStyle name="Обычный 2 5 2 2 2 2" xfId="505"/>
    <cellStyle name="Обычный 2 5 2 2 2 3" xfId="506"/>
    <cellStyle name="Обычный 2 5 2 2 3" xfId="507"/>
    <cellStyle name="Обычный 2 5 2 2 4" xfId="508"/>
    <cellStyle name="Обычный 2 5 2 3" xfId="509"/>
    <cellStyle name="Обычный 2 5 2 3 2" xfId="510"/>
    <cellStyle name="Обычный 2 5 2 3 3" xfId="511"/>
    <cellStyle name="Обычный 2 5 2 4" xfId="512"/>
    <cellStyle name="Обычный 2 5 2 5" xfId="513"/>
    <cellStyle name="Обычный 2 5 3" xfId="514"/>
    <cellStyle name="Обычный 2 5 3 2" xfId="515"/>
    <cellStyle name="Обычный 2 5 3 2 2" xfId="516"/>
    <cellStyle name="Обычный 2 5 3 2 3" xfId="517"/>
    <cellStyle name="Обычный 2 5 3 3" xfId="518"/>
    <cellStyle name="Обычный 2 5 3 4" xfId="519"/>
    <cellStyle name="Обычный 2 5 4" xfId="520"/>
    <cellStyle name="Обычный 2 5 4 2" xfId="521"/>
    <cellStyle name="Обычный 2 5 4 3" xfId="522"/>
    <cellStyle name="Обычный 2 5 5" xfId="523"/>
    <cellStyle name="Обычный 2 5 5 2" xfId="524"/>
    <cellStyle name="Обычный 2 5 5 3" xfId="525"/>
    <cellStyle name="Обычный 2 5 6" xfId="526"/>
    <cellStyle name="Обычный 2 5 7" xfId="527"/>
    <cellStyle name="Обычный 2_к селектору 26 06 13 (ИПР ПЭС) рабочий (2)" xfId="528"/>
    <cellStyle name="Обычный 20" xfId="529"/>
    <cellStyle name="Обычный 20 2" xfId="530"/>
    <cellStyle name="Обычный 21" xfId="531"/>
    <cellStyle name="Обычный 22" xfId="532"/>
    <cellStyle name="Обычный 23" xfId="533"/>
    <cellStyle name="Обычный 23 2" xfId="534"/>
    <cellStyle name="Обычный 24" xfId="535"/>
    <cellStyle name="Обычный 24 2" xfId="536"/>
    <cellStyle name="Обычный 24 2 2" xfId="537"/>
    <cellStyle name="Обычный 24 2 3" xfId="538"/>
    <cellStyle name="Обычный 24 2 3 2" xfId="539"/>
    <cellStyle name="Обычный 24 2 3 3" xfId="540"/>
    <cellStyle name="Обычный 24 2 4" xfId="541"/>
    <cellStyle name="Обычный 24 2 5" xfId="542"/>
    <cellStyle name="Обычный 24 3" xfId="543"/>
    <cellStyle name="Обычный 24 4" xfId="544"/>
    <cellStyle name="Обычный 25" xfId="545"/>
    <cellStyle name="Обычный 25 2" xfId="546"/>
    <cellStyle name="Обычный 25 2 2" xfId="547"/>
    <cellStyle name="Обычный 25 2 2 2" xfId="548"/>
    <cellStyle name="Обычный 25 2 2 2 2" xfId="549"/>
    <cellStyle name="Обычный 25 2 2 2 3" xfId="550"/>
    <cellStyle name="Обычный 25 2 2 3" xfId="551"/>
    <cellStyle name="Обычный 25 2 2 4" xfId="552"/>
    <cellStyle name="Обычный 25 3" xfId="553"/>
    <cellStyle name="Обычный 25 4" xfId="554"/>
    <cellStyle name="Обычный 26" xfId="555"/>
    <cellStyle name="Обычный 26 2" xfId="556"/>
    <cellStyle name="Обычный 26 3" xfId="557"/>
    <cellStyle name="Обычный 27" xfId="558"/>
    <cellStyle name="Обычный 27 2" xfId="559"/>
    <cellStyle name="Обычный 27 3" xfId="560"/>
    <cellStyle name="Обычный 28" xfId="561"/>
    <cellStyle name="Обычный 28 2" xfId="562"/>
    <cellStyle name="Обычный 28 3" xfId="563"/>
    <cellStyle name="Обычный 29" xfId="564"/>
    <cellStyle name="Обычный 29 2" xfId="565"/>
    <cellStyle name="Обычный 29 3" xfId="566"/>
    <cellStyle name="Обычный 3" xfId="2"/>
    <cellStyle name="Обычный 3 2" xfId="17"/>
    <cellStyle name="Обычный 3 2 2" xfId="18"/>
    <cellStyle name="Обычный 3 2 2 2" xfId="36"/>
    <cellStyle name="Обычный 3 2 2 3" xfId="567"/>
    <cellStyle name="Обычный 3 2 2 4" xfId="978"/>
    <cellStyle name="Обычный 3 2 3" xfId="568"/>
    <cellStyle name="Обычный 3 2 4" xfId="569"/>
    <cellStyle name="Обычный 3 2 5" xfId="966"/>
    <cellStyle name="Обычный 3 2 5 2" xfId="977"/>
    <cellStyle name="Обычный 3 3" xfId="19"/>
    <cellStyle name="Обычный 3 3 2" xfId="570"/>
    <cellStyle name="Обычный 3 3 3" xfId="571"/>
    <cellStyle name="Обычный 3 3 4" xfId="975"/>
    <cellStyle name="Обычный 3 4" xfId="20"/>
    <cellStyle name="Обычный 3 5" xfId="21"/>
    <cellStyle name="Обычный 3 5 2" xfId="22"/>
    <cellStyle name="Обычный 3 5 2 2" xfId="971"/>
    <cellStyle name="Обычный 3 5 2 2 2" xfId="974"/>
    <cellStyle name="Обычный 3 5 3" xfId="976"/>
    <cellStyle name="Обычный 3 6" xfId="16"/>
    <cellStyle name="Обычный 3 7" xfId="41"/>
    <cellStyle name="Обычный 3 8" xfId="972"/>
    <cellStyle name="Обычный 3_ДИПР 2014-2018 (прил 1.1,1.2,1.3,2.2,2.3, 6.1.,6.2,6.3)" xfId="572"/>
    <cellStyle name="Обычный 30" xfId="573"/>
    <cellStyle name="Обычный 31" xfId="574"/>
    <cellStyle name="Обычный 32" xfId="575"/>
    <cellStyle name="Обычный 33" xfId="967"/>
    <cellStyle name="Обычный 34" xfId="968"/>
    <cellStyle name="Обычный 35" xfId="969"/>
    <cellStyle name="Обычный 35 2" xfId="970"/>
    <cellStyle name="Обычный 4" xfId="3"/>
    <cellStyle name="Обычный 4 2" xfId="576"/>
    <cellStyle name="Обычный 4 2 2" xfId="577"/>
    <cellStyle name="Обычный 4 3" xfId="578"/>
    <cellStyle name="Обычный 4 3 2" xfId="579"/>
    <cellStyle name="Обычный 4 3 2 2" xfId="580"/>
    <cellStyle name="Обычный 4 3 2 2 2" xfId="581"/>
    <cellStyle name="Обычный 4 3 2 2 2 2" xfId="582"/>
    <cellStyle name="Обычный 4 3 2 2 2 2 2" xfId="583"/>
    <cellStyle name="Обычный 4 3 2 2 2 2 3" xfId="584"/>
    <cellStyle name="Обычный 4 3 2 2 2 3" xfId="585"/>
    <cellStyle name="Обычный 4 3 2 2 2 3 2" xfId="586"/>
    <cellStyle name="Обычный 4 3 2 2 2 3 3" xfId="587"/>
    <cellStyle name="Обычный 4 3 2 2 2 4" xfId="588"/>
    <cellStyle name="Обычный 4 3 2 2 2 5" xfId="589"/>
    <cellStyle name="Обычный 4 3 2 2 3" xfId="590"/>
    <cellStyle name="Обычный 4 3 2 2 3 2" xfId="591"/>
    <cellStyle name="Обычный 4 3 2 2 3 3" xfId="592"/>
    <cellStyle name="Обычный 4 3 2 2 4" xfId="593"/>
    <cellStyle name="Обычный 4 3 2 2 4 2" xfId="594"/>
    <cellStyle name="Обычный 4 3 2 2 4 3" xfId="595"/>
    <cellStyle name="Обычный 4 3 2 2 5" xfId="596"/>
    <cellStyle name="Обычный 4 3 2 2 6" xfId="597"/>
    <cellStyle name="Обычный 4 3 2 3" xfId="598"/>
    <cellStyle name="Обычный 4 3 2 3 2" xfId="599"/>
    <cellStyle name="Обычный 4 3 2 3 2 2" xfId="600"/>
    <cellStyle name="Обычный 4 3 2 3 2 3" xfId="601"/>
    <cellStyle name="Обычный 4 3 2 3 3" xfId="602"/>
    <cellStyle name="Обычный 4 3 2 3 3 2" xfId="603"/>
    <cellStyle name="Обычный 4 3 2 3 3 3" xfId="604"/>
    <cellStyle name="Обычный 4 3 2 3 4" xfId="605"/>
    <cellStyle name="Обычный 4 3 2 3 5" xfId="606"/>
    <cellStyle name="Обычный 4 3 2 4" xfId="607"/>
    <cellStyle name="Обычный 4 3 2 4 2" xfId="608"/>
    <cellStyle name="Обычный 4 3 2 4 3" xfId="609"/>
    <cellStyle name="Обычный 4 3 2 5" xfId="610"/>
    <cellStyle name="Обычный 4 3 2 5 2" xfId="611"/>
    <cellStyle name="Обычный 4 3 2 5 3" xfId="612"/>
    <cellStyle name="Обычный 4 3 2 6" xfId="613"/>
    <cellStyle name="Обычный 4 3 2 7" xfId="614"/>
    <cellStyle name="Обычный 4 3 3" xfId="615"/>
    <cellStyle name="Обычный 4 3 3 2" xfId="616"/>
    <cellStyle name="Обычный 4 3 3 2 2" xfId="617"/>
    <cellStyle name="Обычный 4 3 3 2 2 2" xfId="618"/>
    <cellStyle name="Обычный 4 3 3 2 2 3" xfId="619"/>
    <cellStyle name="Обычный 4 3 3 2 3" xfId="620"/>
    <cellStyle name="Обычный 4 3 3 2 3 2" xfId="621"/>
    <cellStyle name="Обычный 4 3 3 2 3 3" xfId="622"/>
    <cellStyle name="Обычный 4 3 3 2 4" xfId="623"/>
    <cellStyle name="Обычный 4 3 3 2 5" xfId="624"/>
    <cellStyle name="Обычный 4 3 3 3" xfId="625"/>
    <cellStyle name="Обычный 4 3 3 3 2" xfId="626"/>
    <cellStyle name="Обычный 4 3 3 3 3" xfId="627"/>
    <cellStyle name="Обычный 4 3 3 4" xfId="628"/>
    <cellStyle name="Обычный 4 3 3 4 2" xfId="629"/>
    <cellStyle name="Обычный 4 3 3 4 3" xfId="630"/>
    <cellStyle name="Обычный 4 3 3 5" xfId="631"/>
    <cellStyle name="Обычный 4 3 3 6" xfId="632"/>
    <cellStyle name="Обычный 4 3 4" xfId="633"/>
    <cellStyle name="Обычный 4 3 4 2" xfId="634"/>
    <cellStyle name="Обычный 4 3 4 2 2" xfId="635"/>
    <cellStyle name="Обычный 4 3 4 2 3" xfId="636"/>
    <cellStyle name="Обычный 4 3 4 3" xfId="637"/>
    <cellStyle name="Обычный 4 3 4 3 2" xfId="638"/>
    <cellStyle name="Обычный 4 3 4 3 3" xfId="639"/>
    <cellStyle name="Обычный 4 3 4 4" xfId="640"/>
    <cellStyle name="Обычный 4 3 4 5" xfId="641"/>
    <cellStyle name="Обычный 4 3 5" xfId="642"/>
    <cellStyle name="Обычный 4 3 5 2" xfId="643"/>
    <cellStyle name="Обычный 4 3 5 3" xfId="644"/>
    <cellStyle name="Обычный 4 3 6" xfId="645"/>
    <cellStyle name="Обычный 4 3 6 2" xfId="646"/>
    <cellStyle name="Обычный 4 3 6 3" xfId="647"/>
    <cellStyle name="Обычный 4 3 7" xfId="648"/>
    <cellStyle name="Обычный 4 3 8" xfId="649"/>
    <cellStyle name="Обычный 4 4" xfId="650"/>
    <cellStyle name="Обычный 4 4 2" xfId="651"/>
    <cellStyle name="Обычный 4 4 3" xfId="652"/>
    <cellStyle name="Обычный 4 5" xfId="653"/>
    <cellStyle name="Обычный 4 6" xfId="654"/>
    <cellStyle name="Обычный 4 7" xfId="655"/>
    <cellStyle name="Обычный 5" xfId="23"/>
    <cellStyle name="Обычный 5 2" xfId="656"/>
    <cellStyle name="Обычный 5 2 2" xfId="657"/>
    <cellStyle name="Обычный 5 3" xfId="658"/>
    <cellStyle name="Обычный 5 3 2" xfId="659"/>
    <cellStyle name="Обычный 5 3 3" xfId="660"/>
    <cellStyle name="Обычный 5 4" xfId="661"/>
    <cellStyle name="Обычный 5 4 2" xfId="662"/>
    <cellStyle name="Обычный 5 4 2 2" xfId="663"/>
    <cellStyle name="Обычный 5 4 2 3" xfId="664"/>
    <cellStyle name="Обычный 5 4 3" xfId="665"/>
    <cellStyle name="Обычный 5 4 3 2" xfId="666"/>
    <cellStyle name="Обычный 5 4 3 3" xfId="667"/>
    <cellStyle name="Обычный 5 4 4" xfId="668"/>
    <cellStyle name="Обычный 5 4 5" xfId="669"/>
    <cellStyle name="Обычный 5_Все прил 2012-2017 (коррект ПР) ЕАО" xfId="670"/>
    <cellStyle name="Обычный 6" xfId="34"/>
    <cellStyle name="Обычный 6 2" xfId="37"/>
    <cellStyle name="Обычный 6 2 2" xfId="671"/>
    <cellStyle name="Обычный 6 2 2 2" xfId="672"/>
    <cellStyle name="Обычный 6 2 2 2 2" xfId="673"/>
    <cellStyle name="Обычный 6 2 2 2 2 2" xfId="674"/>
    <cellStyle name="Обычный 6 2 2 2 2 3" xfId="675"/>
    <cellStyle name="Обычный 6 2 2 2 3" xfId="676"/>
    <cellStyle name="Обычный 6 2 2 2 3 2" xfId="677"/>
    <cellStyle name="Обычный 6 2 2 2 3 3" xfId="678"/>
    <cellStyle name="Обычный 6 2 2 3" xfId="679"/>
    <cellStyle name="Обычный 6 2 2 3 2" xfId="680"/>
    <cellStyle name="Обычный 6 2 2 3 3" xfId="681"/>
    <cellStyle name="Обычный 6 2 2 4" xfId="682"/>
    <cellStyle name="Обычный 6 2 2 4 2" xfId="683"/>
    <cellStyle name="Обычный 6 2 2 4 3" xfId="684"/>
    <cellStyle name="Обычный 6 2 2 5" xfId="685"/>
    <cellStyle name="Обычный 6 2 2 6" xfId="686"/>
    <cellStyle name="Обычный 6 2 2 7" xfId="687"/>
    <cellStyle name="Обычный 6 2 3" xfId="688"/>
    <cellStyle name="Обычный 6 2 4" xfId="689"/>
    <cellStyle name="Обычный 6 2 4 2" xfId="690"/>
    <cellStyle name="Обычный 6 2 4 3" xfId="691"/>
    <cellStyle name="Обычный 6 2 5" xfId="692"/>
    <cellStyle name="Обычный 6 2 6" xfId="693"/>
    <cellStyle name="Обычный 6 2 7" xfId="694"/>
    <cellStyle name="Обычный 6 3" xfId="695"/>
    <cellStyle name="Обычный 6 3 2" xfId="696"/>
    <cellStyle name="Обычный 6 4" xfId="697"/>
    <cellStyle name="Обычный 6 5" xfId="698"/>
    <cellStyle name="Обычный 6 6" xfId="699"/>
    <cellStyle name="Обычный 6 6 2" xfId="700"/>
    <cellStyle name="Обычный 6 6 3" xfId="701"/>
    <cellStyle name="Обычный 6 7" xfId="702"/>
    <cellStyle name="Обычный 6 8" xfId="703"/>
    <cellStyle name="Обычный 6 9" xfId="704"/>
    <cellStyle name="Обычный 7" xfId="38"/>
    <cellStyle name="Обычный 7 2" xfId="705"/>
    <cellStyle name="Обычный 7 2 2" xfId="706"/>
    <cellStyle name="Обычный 7 2 2 2" xfId="707"/>
    <cellStyle name="Обычный 7 2 2 2 2" xfId="708"/>
    <cellStyle name="Обычный 7 2 2 2 2 2" xfId="709"/>
    <cellStyle name="Обычный 7 2 2 2 2 3" xfId="710"/>
    <cellStyle name="Обычный 7 2 2 2 2 4" xfId="711"/>
    <cellStyle name="Обычный 7 2 2 2 3" xfId="712"/>
    <cellStyle name="Обычный 7 2 2 2 4" xfId="713"/>
    <cellStyle name="Обычный 7 2 2 3" xfId="714"/>
    <cellStyle name="Обычный 7 2 2 3 2" xfId="715"/>
    <cellStyle name="Обычный 7 2 2 3 3" xfId="716"/>
    <cellStyle name="Обычный 7 2 2 4" xfId="717"/>
    <cellStyle name="Обычный 7 2 2 4 2" xfId="718"/>
    <cellStyle name="Обычный 7 2 2 4 3" xfId="719"/>
    <cellStyle name="Обычный 7 2 2 5" xfId="720"/>
    <cellStyle name="Обычный 7 2 2 6" xfId="721"/>
    <cellStyle name="Обычный 7 2 3" xfId="722"/>
    <cellStyle name="Обычный 7 3" xfId="723"/>
    <cellStyle name="Обычный 7 3 2" xfId="724"/>
    <cellStyle name="Обычный 7 4" xfId="725"/>
    <cellStyle name="Обычный 7 5" xfId="726"/>
    <cellStyle name="Обычный 7 6" xfId="727"/>
    <cellStyle name="Обычный 7 6 2" xfId="728"/>
    <cellStyle name="Обычный 7 6 3" xfId="729"/>
    <cellStyle name="Обычный 8" xfId="40"/>
    <cellStyle name="Обычный 8 2" xfId="730"/>
    <cellStyle name="Обычный 8 2 2" xfId="731"/>
    <cellStyle name="Обычный 8 28" xfId="732"/>
    <cellStyle name="Обычный 8 28 2" xfId="733"/>
    <cellStyle name="Обычный 8 3" xfId="734"/>
    <cellStyle name="Обычный 8_Прил 6.1, 6,2, 6,3 факт ЕИ" xfId="735"/>
    <cellStyle name="Обычный 9" xfId="736"/>
    <cellStyle name="Обычный 9 2" xfId="737"/>
    <cellStyle name="Обычный 9 2 2" xfId="738"/>
    <cellStyle name="Обычный 9 2 2 2" xfId="739"/>
    <cellStyle name="Обычный 9 2 2 2 2" xfId="740"/>
    <cellStyle name="Обычный 9 2 2 2 2 2" xfId="741"/>
    <cellStyle name="Обычный 9 2 2 2 2 3" xfId="742"/>
    <cellStyle name="Обычный 9 2 2 2 3" xfId="743"/>
    <cellStyle name="Обычный 9 2 2 2 4" xfId="744"/>
    <cellStyle name="Обычный 9 2 2 3" xfId="745"/>
    <cellStyle name="Обычный 9 2 2 3 2" xfId="746"/>
    <cellStyle name="Обычный 9 2 2 3 3" xfId="747"/>
    <cellStyle name="Обычный 9 2 2 4" xfId="748"/>
    <cellStyle name="Обычный 9 2 2 5" xfId="749"/>
    <cellStyle name="Обычный 9 2 3" xfId="750"/>
    <cellStyle name="Обычный 9 2 3 2" xfId="751"/>
    <cellStyle name="Обычный 9 2 3 2 2" xfId="752"/>
    <cellStyle name="Обычный 9 2 3 2 3" xfId="753"/>
    <cellStyle name="Обычный 9 2 3 3" xfId="754"/>
    <cellStyle name="Обычный 9 2 3 4" xfId="755"/>
    <cellStyle name="Обычный 9 3" xfId="756"/>
    <cellStyle name="Параметр" xfId="757"/>
    <cellStyle name="ПеременныеСметы" xfId="758"/>
    <cellStyle name="ПИР" xfId="24"/>
    <cellStyle name="Плохой 2" xfId="759"/>
    <cellStyle name="Плохой 2 2" xfId="760"/>
    <cellStyle name="Плохой 2 2 2" xfId="761"/>
    <cellStyle name="Плохой 2 3" xfId="762"/>
    <cellStyle name="Плохой 3" xfId="763"/>
    <cellStyle name="Пояснение 2" xfId="764"/>
    <cellStyle name="Пояснение 2 2" xfId="765"/>
    <cellStyle name="Пояснение 2 2 2" xfId="766"/>
    <cellStyle name="Пояснение 2 3" xfId="767"/>
    <cellStyle name="Пояснение 3" xfId="768"/>
    <cellStyle name="Примечание 2" xfId="769"/>
    <cellStyle name="Примечание 2 2" xfId="770"/>
    <cellStyle name="Примечание 2 2 2" xfId="771"/>
    <cellStyle name="Примечание 2 2 2 2" xfId="772"/>
    <cellStyle name="Примечание 2 2 3" xfId="773"/>
    <cellStyle name="Примечание 2 3" xfId="774"/>
    <cellStyle name="Примечание 2 3 2" xfId="775"/>
    <cellStyle name="Примечание 2 4" xfId="776"/>
    <cellStyle name="Примечание 2 5" xfId="777"/>
    <cellStyle name="Примечание 2 6" xfId="778"/>
    <cellStyle name="Примечание 3" xfId="779"/>
    <cellStyle name="Примечание 3 2" xfId="780"/>
    <cellStyle name="Примечание 3 2 2" xfId="781"/>
    <cellStyle name="Примечание 3 3" xfId="782"/>
    <cellStyle name="Примечание 4" xfId="783"/>
    <cellStyle name="Примечание 4 2" xfId="784"/>
    <cellStyle name="Процентный 2" xfId="25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26"/>
    <cellStyle name="Стиль 1 2" xfId="816"/>
    <cellStyle name="Стиль 1 2 2" xfId="817"/>
    <cellStyle name="Стиль 1 3" xfId="818"/>
    <cellStyle name="Стиль 1 3 2" xfId="819"/>
    <cellStyle name="Стиль 1 4" xfId="820"/>
    <cellStyle name="Стиль 1 5" xfId="821"/>
    <cellStyle name="Стиль 1_1.2 ХЭС" xfId="822"/>
    <cellStyle name="Текст предупреждения 2" xfId="823"/>
    <cellStyle name="Текст предупреждения 2 2" xfId="824"/>
    <cellStyle name="Текст предупреждения 2 2 2" xfId="825"/>
    <cellStyle name="Текст предупреждения 2 3" xfId="826"/>
    <cellStyle name="Текст предупреждения 3" xfId="827"/>
    <cellStyle name="Текст предупреждения 3 2" xfId="828"/>
    <cellStyle name="Титул" xfId="27"/>
    <cellStyle name="Тысячи [0]_laroux" xfId="28"/>
    <cellStyle name="Тысячи_laroux" xfId="29"/>
    <cellStyle name="Финансовый 10" xfId="829"/>
    <cellStyle name="Финансовый 11" xfId="830"/>
    <cellStyle name="Финансовый 2" xfId="30"/>
    <cellStyle name="Финансовый 2 10" xfId="831"/>
    <cellStyle name="Финансовый 2 11" xfId="832"/>
    <cellStyle name="Финансовый 2 12" xfId="833"/>
    <cellStyle name="Финансовый 2 2" xfId="834"/>
    <cellStyle name="Финансовый 2 2 2" xfId="835"/>
    <cellStyle name="Финансовый 2 2 2 2" xfId="836"/>
    <cellStyle name="Финансовый 2 2 2 2 2" xfId="39"/>
    <cellStyle name="Финансовый 2 2 3" xfId="837"/>
    <cellStyle name="Финансовый 2 3" xfId="838"/>
    <cellStyle name="Финансовый 2 3 2" xfId="839"/>
    <cellStyle name="Финансовый 2 3 3" xfId="840"/>
    <cellStyle name="Финансовый 2 4" xfId="841"/>
    <cellStyle name="Финансовый 2 5" xfId="842"/>
    <cellStyle name="Финансовый 2 6" xfId="843"/>
    <cellStyle name="Финансовый 2 7" xfId="844"/>
    <cellStyle name="Финансовый 2 7 2" xfId="845"/>
    <cellStyle name="Финансовый 2 7 2 2" xfId="846"/>
    <cellStyle name="Финансовый 2 7 2 3" xfId="847"/>
    <cellStyle name="Финансовый 2 7 3" xfId="848"/>
    <cellStyle name="Финансовый 2 7 4" xfId="849"/>
    <cellStyle name="Финансовый 2 8" xfId="850"/>
    <cellStyle name="Финансовый 2 8 2" xfId="851"/>
    <cellStyle name="Финансовый 2 8 3" xfId="852"/>
    <cellStyle name="Финансовый 2 9" xfId="853"/>
    <cellStyle name="Финансовый 2 9 2" xfId="854"/>
    <cellStyle name="Финансовый 2 9 3" xfId="855"/>
    <cellStyle name="Финансовый 3" xfId="31"/>
    <cellStyle name="Финансовый 3 2" xfId="856"/>
    <cellStyle name="Финансовый 3 2 2" xfId="857"/>
    <cellStyle name="Финансовый 3 2 2 2" xfId="858"/>
    <cellStyle name="Финансовый 3 2 2 2 2" xfId="859"/>
    <cellStyle name="Финансовый 3 2 2 2 3" xfId="860"/>
    <cellStyle name="Финансовый 3 2 2 2 3 2" xfId="861"/>
    <cellStyle name="Финансовый 3 2 2 2 3 2 2" xfId="862"/>
    <cellStyle name="Финансовый 3 2 2 2 3 2 3" xfId="863"/>
    <cellStyle name="Финансовый 3 2 2 2 3 3" xfId="864"/>
    <cellStyle name="Финансовый 3 2 2 2 3 4" xfId="865"/>
    <cellStyle name="Финансовый 3 2 2 3" xfId="866"/>
    <cellStyle name="Финансовый 3 2 2 4" xfId="867"/>
    <cellStyle name="Финансовый 3 2 2 4 2" xfId="868"/>
    <cellStyle name="Финансовый 3 2 2 4 2 2" xfId="869"/>
    <cellStyle name="Финансовый 3 2 2 4 2 3" xfId="870"/>
    <cellStyle name="Финансовый 3 2 2 4 3" xfId="871"/>
    <cellStyle name="Финансовый 3 2 2 4 4" xfId="872"/>
    <cellStyle name="Финансовый 3 2 3" xfId="873"/>
    <cellStyle name="Финансовый 3 2 3 2" xfId="874"/>
    <cellStyle name="Финансовый 3 2 3 3" xfId="875"/>
    <cellStyle name="Финансовый 3 2 3 3 2" xfId="876"/>
    <cellStyle name="Финансовый 3 2 3 3 2 2" xfId="877"/>
    <cellStyle name="Финансовый 3 2 3 3 2 3" xfId="878"/>
    <cellStyle name="Финансовый 3 2 3 3 3" xfId="879"/>
    <cellStyle name="Финансовый 3 2 3 3 4" xfId="880"/>
    <cellStyle name="Финансовый 3 2 4" xfId="881"/>
    <cellStyle name="Финансовый 3 3" xfId="882"/>
    <cellStyle name="Финансовый 3 3 2" xfId="883"/>
    <cellStyle name="Финансовый 3 3 2 2" xfId="884"/>
    <cellStyle name="Финансовый 3 3 2 3" xfId="885"/>
    <cellStyle name="Финансовый 3 3 2 3 2" xfId="886"/>
    <cellStyle name="Финансовый 3 3 2 3 2 2" xfId="887"/>
    <cellStyle name="Финансовый 3 3 2 3 2 3" xfId="888"/>
    <cellStyle name="Финансовый 3 3 2 3 3" xfId="889"/>
    <cellStyle name="Финансовый 3 3 2 3 4" xfId="890"/>
    <cellStyle name="Финансовый 3 3 3" xfId="891"/>
    <cellStyle name="Финансовый 3 3 4" xfId="892"/>
    <cellStyle name="Финансовый 3 3 4 2" xfId="893"/>
    <cellStyle name="Финансовый 3 3 4 2 2" xfId="894"/>
    <cellStyle name="Финансовый 3 3 4 2 3" xfId="895"/>
    <cellStyle name="Финансовый 3 3 4 3" xfId="896"/>
    <cellStyle name="Финансовый 3 3 4 4" xfId="897"/>
    <cellStyle name="Финансовый 3 4" xfId="898"/>
    <cellStyle name="Финансовый 3 4 2" xfId="899"/>
    <cellStyle name="Финансовый 3 4 3" xfId="900"/>
    <cellStyle name="Финансовый 3 4 3 2" xfId="901"/>
    <cellStyle name="Финансовый 3 4 3 2 2" xfId="902"/>
    <cellStyle name="Финансовый 3 4 3 2 3" xfId="903"/>
    <cellStyle name="Финансовый 3 4 3 3" xfId="904"/>
    <cellStyle name="Финансовый 3 4 3 4" xfId="905"/>
    <cellStyle name="Финансовый 3 5" xfId="906"/>
    <cellStyle name="Финансовый 3 6" xfId="907"/>
    <cellStyle name="Финансовый 3 6 2" xfId="908"/>
    <cellStyle name="Финансовый 3 6 3" xfId="909"/>
    <cellStyle name="Финансовый 3 7" xfId="910"/>
    <cellStyle name="Финансовый 3 8" xfId="911"/>
    <cellStyle name="Финансовый 3 9" xfId="912"/>
    <cellStyle name="Финансовый 4" xfId="913"/>
    <cellStyle name="Финансовый 4 2" xfId="914"/>
    <cellStyle name="Финансовый 4 3" xfId="915"/>
    <cellStyle name="Финансовый 4 4" xfId="916"/>
    <cellStyle name="Финансовый 4 4 2" xfId="917"/>
    <cellStyle name="Финансовый 4 4 2 2" xfId="918"/>
    <cellStyle name="Финансовый 4 4 3" xfId="919"/>
    <cellStyle name="Финансовый 4 4 3 2" xfId="920"/>
    <cellStyle name="Финансовый 4 4 3 3" xfId="921"/>
    <cellStyle name="Финансовый 4 4 4" xfId="922"/>
    <cellStyle name="Финансовый 4 4 4 2" xfId="923"/>
    <cellStyle name="Финансовый 4 4 4 3" xfId="924"/>
    <cellStyle name="Финансовый 4 4 5" xfId="925"/>
    <cellStyle name="Финансовый 4 4 6" xfId="926"/>
    <cellStyle name="Финансовый 4 5" xfId="927"/>
    <cellStyle name="Финансовый 4 6" xfId="928"/>
    <cellStyle name="Финансовый 4 6 2" xfId="929"/>
    <cellStyle name="Финансовый 4 6 3" xfId="930"/>
    <cellStyle name="Финансовый 4 7" xfId="965"/>
    <cellStyle name="Финансовый 5" xfId="931"/>
    <cellStyle name="Финансовый 5 2" xfId="932"/>
    <cellStyle name="Финансовый 6" xfId="933"/>
    <cellStyle name="Финансовый 6 2" xfId="934"/>
    <cellStyle name="Финансовый 6 2 2" xfId="935"/>
    <cellStyle name="Финансовый 6 2 3" xfId="936"/>
    <cellStyle name="Финансовый 6 3" xfId="937"/>
    <cellStyle name="Финансовый 6 3 2" xfId="938"/>
    <cellStyle name="Финансовый 6 3 3" xfId="939"/>
    <cellStyle name="Финансовый 6 4" xfId="940"/>
    <cellStyle name="Финансовый 6 5" xfId="941"/>
    <cellStyle name="Финансовый 7" xfId="942"/>
    <cellStyle name="Финансовый 7 2" xfId="943"/>
    <cellStyle name="Финансовый 7 3" xfId="944"/>
    <cellStyle name="Финансовый 7 3 2" xfId="945"/>
    <cellStyle name="Финансовый 7 3 2 2" xfId="946"/>
    <cellStyle name="Финансовый 7 3 2 3" xfId="947"/>
    <cellStyle name="Финансовый 7 3 3" xfId="948"/>
    <cellStyle name="Финансовый 7 3 3 2" xfId="949"/>
    <cellStyle name="Финансовый 7 3 3 3" xfId="950"/>
    <cellStyle name="Финансовый 7 3 4" xfId="951"/>
    <cellStyle name="Финансовый 7 3 5" xfId="952"/>
    <cellStyle name="Финансовый 8" xfId="953"/>
    <cellStyle name="Финансовый 8 2" xfId="954"/>
    <cellStyle name="Финансовый 8 3" xfId="955"/>
    <cellStyle name="Финансовый 9" xfId="956"/>
    <cellStyle name="Формула" xfId="957"/>
    <cellStyle name="Хвост" xfId="32"/>
    <cellStyle name="Хороший 2" xfId="958"/>
    <cellStyle name="Хороший 2 2" xfId="959"/>
    <cellStyle name="Хороший 2 2 2" xfId="960"/>
    <cellStyle name="Хороший 2 3" xfId="961"/>
    <cellStyle name="Хороший 3" xfId="962"/>
    <cellStyle name="Ценник" xfId="963"/>
    <cellStyle name="Экспертиза" xfId="9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72"/>
  <sheetViews>
    <sheetView showGridLines="0" tabSelected="1" view="pageBreakPreview" topLeftCell="A55" zoomScale="85" zoomScaleNormal="85" zoomScaleSheetLayoutView="85" workbookViewId="0">
      <selection activeCell="M72" sqref="M72"/>
    </sheetView>
  </sheetViews>
  <sheetFormatPr defaultRowHeight="12.75" x14ac:dyDescent="0.2"/>
  <cols>
    <col min="1" max="1" width="5" style="1" customWidth="1"/>
    <col min="2" max="2" width="18.42578125" style="2" customWidth="1"/>
    <col min="3" max="3" width="48.7109375" style="2" customWidth="1"/>
    <col min="4" max="4" width="16.42578125" style="5" customWidth="1"/>
    <col min="5" max="5" width="19.140625" style="5" customWidth="1"/>
    <col min="6" max="6" width="13.42578125" style="5" customWidth="1"/>
    <col min="7" max="7" width="12.5703125" style="5" customWidth="1"/>
    <col min="8" max="8" width="13.42578125" style="5" customWidth="1"/>
    <col min="9" max="12" width="9.140625" style="4" customWidth="1"/>
    <col min="13" max="13" width="12" style="4" bestFit="1" customWidth="1"/>
    <col min="14" max="16384" width="9.140625" style="4"/>
  </cols>
  <sheetData>
    <row r="1" spans="1:8" ht="21.75" customHeight="1" x14ac:dyDescent="0.2">
      <c r="D1" s="6" t="s">
        <v>58</v>
      </c>
      <c r="F1" s="3"/>
      <c r="G1" s="3"/>
      <c r="H1" s="3"/>
    </row>
    <row r="2" spans="1:8" ht="21.75" customHeight="1" x14ac:dyDescent="0.2">
      <c r="D2" s="7"/>
      <c r="F2" s="3"/>
      <c r="G2" s="3"/>
      <c r="H2" s="3"/>
    </row>
    <row r="3" spans="1:8" x14ac:dyDescent="0.2">
      <c r="C3" s="8"/>
      <c r="D3" s="9" t="s">
        <v>100</v>
      </c>
      <c r="E3" s="10"/>
      <c r="F3" s="9"/>
      <c r="G3" s="9"/>
      <c r="H3" s="3"/>
    </row>
    <row r="4" spans="1:8" x14ac:dyDescent="0.2">
      <c r="D4" s="11" t="s">
        <v>0</v>
      </c>
      <c r="F4" s="3"/>
      <c r="G4" s="3"/>
      <c r="H4" s="3"/>
    </row>
    <row r="5" spans="1:8" x14ac:dyDescent="0.2">
      <c r="H5" s="3"/>
    </row>
    <row r="6" spans="1:8" x14ac:dyDescent="0.2">
      <c r="B6" s="2" t="s">
        <v>71</v>
      </c>
      <c r="D6" s="7"/>
      <c r="E6" s="3"/>
      <c r="F6" s="3"/>
      <c r="G6" s="3"/>
      <c r="H6" s="3"/>
    </row>
    <row r="7" spans="1:8" x14ac:dyDescent="0.2">
      <c r="D7" s="7"/>
      <c r="E7" s="3"/>
      <c r="F7" s="3"/>
      <c r="G7" s="3"/>
      <c r="H7" s="3"/>
    </row>
    <row r="8" spans="1:8" ht="12.75" customHeight="1" x14ac:dyDescent="0.2">
      <c r="A8" s="111" t="s">
        <v>1</v>
      </c>
      <c r="B8" s="112" t="s">
        <v>4</v>
      </c>
      <c r="C8" s="112" t="s">
        <v>5</v>
      </c>
      <c r="D8" s="113" t="s">
        <v>81</v>
      </c>
      <c r="E8" s="113"/>
      <c r="F8" s="113"/>
      <c r="G8" s="113"/>
      <c r="H8" s="111" t="s">
        <v>72</v>
      </c>
    </row>
    <row r="9" spans="1:8" x14ac:dyDescent="0.2">
      <c r="A9" s="111"/>
      <c r="B9" s="112"/>
      <c r="C9" s="112"/>
      <c r="D9" s="111" t="s">
        <v>21</v>
      </c>
      <c r="E9" s="111" t="s">
        <v>22</v>
      </c>
      <c r="F9" s="111" t="s">
        <v>2</v>
      </c>
      <c r="G9" s="111" t="s">
        <v>3</v>
      </c>
      <c r="H9" s="111"/>
    </row>
    <row r="10" spans="1:8" x14ac:dyDescent="0.2">
      <c r="A10" s="111"/>
      <c r="B10" s="112"/>
      <c r="C10" s="112"/>
      <c r="D10" s="111"/>
      <c r="E10" s="111"/>
      <c r="F10" s="111"/>
      <c r="G10" s="111"/>
      <c r="H10" s="111"/>
    </row>
    <row r="11" spans="1:8" x14ac:dyDescent="0.2">
      <c r="A11" s="111"/>
      <c r="B11" s="112"/>
      <c r="C11" s="112"/>
      <c r="D11" s="111"/>
      <c r="E11" s="111"/>
      <c r="F11" s="111"/>
      <c r="G11" s="111"/>
      <c r="H11" s="111"/>
    </row>
    <row r="12" spans="1:8" x14ac:dyDescent="0.2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</row>
    <row r="13" spans="1:8" x14ac:dyDescent="0.2">
      <c r="A13" s="107" t="s">
        <v>6</v>
      </c>
      <c r="B13" s="108"/>
      <c r="C13" s="108"/>
      <c r="D13" s="108"/>
      <c r="E13" s="108"/>
      <c r="F13" s="108"/>
      <c r="G13" s="108"/>
      <c r="H13" s="108"/>
    </row>
    <row r="14" spans="1:8" ht="25.5" x14ac:dyDescent="0.2">
      <c r="A14" s="14">
        <v>1</v>
      </c>
      <c r="B14" s="15" t="s">
        <v>57</v>
      </c>
      <c r="C14" s="82" t="str">
        <f>'расчет 1'!B11</f>
        <v>Замена ТП-7358 
без учета КТП 630 кВА</v>
      </c>
      <c r="D14" s="72"/>
      <c r="E14" s="73">
        <f>'расчет 1'!H11</f>
        <v>577209</v>
      </c>
      <c r="F14" s="73">
        <f>'расчет 1'!I11</f>
        <v>0</v>
      </c>
      <c r="G14" s="72"/>
      <c r="H14" s="73">
        <f>SUM(D14:G14)</f>
        <v>577209</v>
      </c>
    </row>
    <row r="15" spans="1:8" ht="25.5" x14ac:dyDescent="0.2">
      <c r="A15" s="14">
        <v>2</v>
      </c>
      <c r="B15" s="15" t="s">
        <v>57</v>
      </c>
      <c r="C15" s="82" t="str">
        <f>'расчет 1'!B12</f>
        <v>Замена ТП-7359 
без учета КТП 250 кВА</v>
      </c>
      <c r="D15" s="72"/>
      <c r="E15" s="73">
        <f>'расчет 1'!H12</f>
        <v>297381</v>
      </c>
      <c r="F15" s="73">
        <f>'расчет 1'!I12</f>
        <v>0</v>
      </c>
      <c r="G15" s="72"/>
      <c r="H15" s="73">
        <f>SUM(D15:G15)</f>
        <v>297381</v>
      </c>
    </row>
    <row r="16" spans="1:8" ht="25.5" x14ac:dyDescent="0.2">
      <c r="A16" s="14">
        <v>3</v>
      </c>
      <c r="B16" s="15" t="s">
        <v>57</v>
      </c>
      <c r="C16" s="82" t="str">
        <f>'расчет 1'!B13</f>
        <v>Замена ТП-7382
без учета КТП 400 кВА</v>
      </c>
      <c r="D16" s="72"/>
      <c r="E16" s="73">
        <f>'расчет 1'!H13</f>
        <v>395287</v>
      </c>
      <c r="F16" s="73">
        <f>'расчет 1'!I13</f>
        <v>0</v>
      </c>
      <c r="G16" s="72"/>
      <c r="H16" s="73">
        <f>SUM(D16:G16)</f>
        <v>395287</v>
      </c>
    </row>
    <row r="17" spans="1:8" s="106" customFormat="1" ht="38.25" x14ac:dyDescent="0.2">
      <c r="A17" s="101">
        <v>4</v>
      </c>
      <c r="B17" s="102" t="s">
        <v>57</v>
      </c>
      <c r="C17" s="103" t="str">
        <f>'расчет 1'!B14</f>
        <v>ВЛ-0,4 кВ Ф-2 ТП-7360 (свободностоящая)  СИП 70 ж/б без учета стоек опор ж/б СВ 95-3 5 шт. и провода СИП - 0,2 км.</v>
      </c>
      <c r="D17" s="104"/>
      <c r="E17" s="105">
        <f>'расчет 1'!H14</f>
        <v>30304</v>
      </c>
      <c r="F17" s="105">
        <f>'расчет 1'!I14</f>
        <v>4158</v>
      </c>
      <c r="G17" s="104"/>
      <c r="H17" s="105">
        <f t="shared" ref="H17:H21" si="0">SUM(D17:G17)</f>
        <v>34462</v>
      </c>
    </row>
    <row r="18" spans="1:8" s="106" customFormat="1" ht="38.25" x14ac:dyDescent="0.2">
      <c r="A18" s="101">
        <v>5</v>
      </c>
      <c r="B18" s="102" t="s">
        <v>57</v>
      </c>
      <c r="C18" s="103" t="str">
        <f>'расчет 1'!B15</f>
        <v>ВЛ-0,4 кВ Ф-9 ТП-7360 (свободностоящая)  СИП 70 ж/б без учета стоек опор ж/б СВ 95-3 5 шт. и провода СИП - 0,2 км.</v>
      </c>
      <c r="D18" s="104"/>
      <c r="E18" s="105">
        <f>'расчет 1'!H15</f>
        <v>30304</v>
      </c>
      <c r="F18" s="105">
        <f>'расчет 1'!I15</f>
        <v>4158</v>
      </c>
      <c r="G18" s="104"/>
      <c r="H18" s="105">
        <f t="shared" si="0"/>
        <v>34462</v>
      </c>
    </row>
    <row r="19" spans="1:8" s="106" customFormat="1" ht="38.25" x14ac:dyDescent="0.2">
      <c r="A19" s="101">
        <v>6</v>
      </c>
      <c r="B19" s="102" t="s">
        <v>57</v>
      </c>
      <c r="C19" s="103" t="str">
        <f>'расчет 1'!B16</f>
        <v>ВЛ-0,4 кВ Ф-13 ТП-7360 (свободностоящая)  СИП 70 ж/б без учета стоек опор ж/б СВ 95-3 3 шт. и провода СИП - 0,1 км.</v>
      </c>
      <c r="D19" s="104"/>
      <c r="E19" s="105">
        <f>'расчет 1'!H16</f>
        <v>10152</v>
      </c>
      <c r="F19" s="105">
        <f>'расчет 1'!I16</f>
        <v>2079</v>
      </c>
      <c r="G19" s="104"/>
      <c r="H19" s="105">
        <f t="shared" si="0"/>
        <v>12231</v>
      </c>
    </row>
    <row r="20" spans="1:8" s="106" customFormat="1" ht="38.25" x14ac:dyDescent="0.2">
      <c r="A20" s="101">
        <v>7</v>
      </c>
      <c r="B20" s="102" t="s">
        <v>57</v>
      </c>
      <c r="C20" s="103" t="str">
        <f>'расчет 1'!B17</f>
        <v>ВЛ-0,4 кВ Ф-14 ТП-7360 (свободностоящая)  СИП 70 ж/б без учета стоек опор ж/б СВ 95-3 7 шт. и провода СИП - 0,3 км.</v>
      </c>
      <c r="D20" s="104"/>
      <c r="E20" s="105">
        <f>'расчет 1'!H17</f>
        <v>50457</v>
      </c>
      <c r="F20" s="105">
        <f>'расчет 1'!I17</f>
        <v>6237</v>
      </c>
      <c r="G20" s="104"/>
      <c r="H20" s="105">
        <f t="shared" si="0"/>
        <v>56694</v>
      </c>
    </row>
    <row r="21" spans="1:8" s="106" customFormat="1" ht="25.5" x14ac:dyDescent="0.2">
      <c r="A21" s="101">
        <v>8</v>
      </c>
      <c r="B21" s="102" t="s">
        <v>57</v>
      </c>
      <c r="C21" s="103" t="str">
        <f>'расчет 1'!B18</f>
        <v>Замена ТП-7364
без учета КТП 400 кВА</v>
      </c>
      <c r="D21" s="104"/>
      <c r="E21" s="105">
        <f>'расчет 1'!H18</f>
        <v>395287</v>
      </c>
      <c r="F21" s="105">
        <f>'расчет 1'!I18</f>
        <v>0</v>
      </c>
      <c r="G21" s="104"/>
      <c r="H21" s="105">
        <f t="shared" si="0"/>
        <v>395287</v>
      </c>
    </row>
    <row r="22" spans="1:8" s="106" customFormat="1" ht="25.5" x14ac:dyDescent="0.2">
      <c r="A22" s="101">
        <v>9</v>
      </c>
      <c r="B22" s="102" t="s">
        <v>57</v>
      </c>
      <c r="C22" s="103" t="str">
        <f>'расчет 1'!B19</f>
        <v>Замена ТП-7365 
без учета КТП 250 кВА</v>
      </c>
      <c r="D22" s="104"/>
      <c r="E22" s="105">
        <f>'расчет 1'!H19</f>
        <v>297381</v>
      </c>
      <c r="F22" s="105">
        <f>'расчет 1'!I19</f>
        <v>0</v>
      </c>
      <c r="G22" s="104"/>
      <c r="H22" s="105">
        <f t="shared" ref="H22:H25" si="1">SUM(D22:G22)</f>
        <v>297381</v>
      </c>
    </row>
    <row r="23" spans="1:8" s="106" customFormat="1" ht="38.25" x14ac:dyDescent="0.2">
      <c r="A23" s="101">
        <v>10</v>
      </c>
      <c r="B23" s="102" t="s">
        <v>57</v>
      </c>
      <c r="C23" s="103" t="str">
        <f>'расчет 1'!B20</f>
        <v>ВЛ-0,4 кВ Ф-1 ТП-7365 (свободностоящая)  СИП 70 ж/б без учета стоек опор ж/б СВ 95-3 8 шт. и провода СИП - 0,3 км.</v>
      </c>
      <c r="D23" s="104"/>
      <c r="E23" s="105">
        <f>'расчет 1'!H20</f>
        <v>40457</v>
      </c>
      <c r="F23" s="105">
        <f>'расчет 1'!I20</f>
        <v>6237</v>
      </c>
      <c r="G23" s="104"/>
      <c r="H23" s="105">
        <f t="shared" si="1"/>
        <v>46694</v>
      </c>
    </row>
    <row r="24" spans="1:8" s="106" customFormat="1" ht="38.25" x14ac:dyDescent="0.2">
      <c r="A24" s="101">
        <v>11</v>
      </c>
      <c r="B24" s="102" t="s">
        <v>57</v>
      </c>
      <c r="C24" s="103" t="str">
        <f>'расчет 1'!B21</f>
        <v>ВЛ-0,4 кВ Ф-2 ТП-7365 (свободностоящая)  СИП 70 ж/б без учета стоек опор ж/б СВ 95-3 18 шт. и провода СИП - 0,7 км.</v>
      </c>
      <c r="D24" s="104"/>
      <c r="E24" s="105">
        <f>'расчет 1'!H21</f>
        <v>101065</v>
      </c>
      <c r="F24" s="105">
        <f>'расчет 1'!I21</f>
        <v>14552</v>
      </c>
      <c r="G24" s="104"/>
      <c r="H24" s="105">
        <f t="shared" si="1"/>
        <v>115617</v>
      </c>
    </row>
    <row r="25" spans="1:8" s="106" customFormat="1" ht="38.25" x14ac:dyDescent="0.2">
      <c r="A25" s="101">
        <v>12</v>
      </c>
      <c r="B25" s="102" t="s">
        <v>57</v>
      </c>
      <c r="C25" s="103" t="str">
        <f>'расчет 1'!B22</f>
        <v>ВЛ-0,4 кВ Ф-3 ТП-7365 (свободностоящая)  СИП 70 ж/б без учета стоек опор ж/б СВ 95-3 25 шт. и провода СИП - 1 км.</v>
      </c>
      <c r="D25" s="104"/>
      <c r="E25" s="105">
        <f>'расчет 1'!H22</f>
        <v>151522</v>
      </c>
      <c r="F25" s="105">
        <f>'расчет 1'!I22</f>
        <v>20789</v>
      </c>
      <c r="G25" s="104"/>
      <c r="H25" s="105">
        <f t="shared" si="1"/>
        <v>172311</v>
      </c>
    </row>
    <row r="26" spans="1:8" s="106" customFormat="1" ht="38.25" x14ac:dyDescent="0.2">
      <c r="A26" s="101">
        <v>13</v>
      </c>
      <c r="B26" s="102" t="s">
        <v>57</v>
      </c>
      <c r="C26" s="103" t="str">
        <f>'расчет 1'!B23</f>
        <v>ВЛ-0,4 кВ Ф-1,2,3 ТП-7365 (свободностоящая)  СИП 70 ж/б без учета стоек опор ж/б СВ 95-3 53 шт. и провода СИП - 4,2 км.</v>
      </c>
      <c r="D26" s="104"/>
      <c r="E26" s="105">
        <f>'расчет 1'!H23</f>
        <v>1156410</v>
      </c>
      <c r="F26" s="105">
        <f>'расчет 1'!I23</f>
        <v>87313</v>
      </c>
      <c r="G26" s="104"/>
      <c r="H26" s="105">
        <f>SUM(D26:G26)</f>
        <v>1243723</v>
      </c>
    </row>
    <row r="27" spans="1:8" s="106" customFormat="1" ht="25.5" x14ac:dyDescent="0.2">
      <c r="A27" s="101">
        <v>14</v>
      </c>
      <c r="B27" s="102" t="s">
        <v>57</v>
      </c>
      <c r="C27" s="103" t="str">
        <f>'расчет 1'!B24</f>
        <v>Замена ТП-7387
без учета КТП 400 кВА</v>
      </c>
      <c r="D27" s="104"/>
      <c r="E27" s="105">
        <f>'расчет 1'!H24</f>
        <v>395287</v>
      </c>
      <c r="F27" s="105">
        <f>'расчет 1'!I24</f>
        <v>0</v>
      </c>
      <c r="G27" s="104"/>
      <c r="H27" s="105">
        <f>SUM(D27:G27)</f>
        <v>395287</v>
      </c>
    </row>
    <row r="28" spans="1:8" s="106" customFormat="1" ht="25.5" x14ac:dyDescent="0.2">
      <c r="A28" s="101">
        <v>15</v>
      </c>
      <c r="B28" s="102" t="s">
        <v>57</v>
      </c>
      <c r="C28" s="103" t="str">
        <f>'расчет 1'!B25</f>
        <v>Замена ТП-7391 
без учета КТП 250 кВА</v>
      </c>
      <c r="D28" s="104"/>
      <c r="E28" s="105">
        <f>'расчет 1'!H25</f>
        <v>297381</v>
      </c>
      <c r="F28" s="105">
        <f>'расчет 1'!I25</f>
        <v>0</v>
      </c>
      <c r="G28" s="104"/>
      <c r="H28" s="105">
        <f>SUM(D28:G28)</f>
        <v>297381</v>
      </c>
    </row>
    <row r="29" spans="1:8" s="106" customFormat="1" ht="25.5" x14ac:dyDescent="0.2">
      <c r="A29" s="101">
        <v>16</v>
      </c>
      <c r="B29" s="102" t="s">
        <v>57</v>
      </c>
      <c r="C29" s="103" t="str">
        <f>'расчет 1'!B26</f>
        <v>Замена ТП-7412  
без учета КТП 250 кВА</v>
      </c>
      <c r="D29" s="104"/>
      <c r="E29" s="105">
        <f>'расчет 1'!H26</f>
        <v>297381</v>
      </c>
      <c r="F29" s="105">
        <f>'расчет 1'!I26</f>
        <v>0</v>
      </c>
      <c r="G29" s="104"/>
      <c r="H29" s="105">
        <f t="shared" ref="H29:H35" si="2">SUM(D29:G29)</f>
        <v>297381</v>
      </c>
    </row>
    <row r="30" spans="1:8" s="106" customFormat="1" ht="38.25" x14ac:dyDescent="0.2">
      <c r="A30" s="101">
        <v>17</v>
      </c>
      <c r="B30" s="102" t="s">
        <v>57</v>
      </c>
      <c r="C30" s="103" t="str">
        <f>'расчет 1'!B27</f>
        <v>ВЛ-0,4 кВ Ф-2 ТП-7411 (свободностоящая)  СИП 70 ж/б без учета стоек опор ж/б СВ 95-3 31 шт. и провода СИП - 1,2 км.</v>
      </c>
      <c r="D30" s="104"/>
      <c r="E30" s="105">
        <f>'расчет 1'!H27</f>
        <v>171826</v>
      </c>
      <c r="F30" s="105">
        <f>'расчет 1'!I27</f>
        <v>24946</v>
      </c>
      <c r="G30" s="104"/>
      <c r="H30" s="105">
        <f t="shared" si="2"/>
        <v>196772</v>
      </c>
    </row>
    <row r="31" spans="1:8" s="106" customFormat="1" ht="38.25" x14ac:dyDescent="0.2">
      <c r="A31" s="101">
        <v>18</v>
      </c>
      <c r="B31" s="102" t="s">
        <v>57</v>
      </c>
      <c r="C31" s="103" t="str">
        <f>'расчет 1'!B28</f>
        <v>ВЛ-0,4 кВ Ф-3 ТП-7411 (свободностоящая)  СИП 70 ж/б без учета стоек опор ж/б СВ 95-3 7 шт. и провода СИП - 0,3 км.</v>
      </c>
      <c r="D31" s="104"/>
      <c r="E31" s="105">
        <f>'расчет 1'!H28</f>
        <v>50457</v>
      </c>
      <c r="F31" s="105">
        <f>'расчет 1'!I28</f>
        <v>6237</v>
      </c>
      <c r="G31" s="104"/>
      <c r="H31" s="105">
        <f t="shared" si="2"/>
        <v>56694</v>
      </c>
    </row>
    <row r="32" spans="1:8" s="106" customFormat="1" ht="25.5" x14ac:dyDescent="0.2">
      <c r="A32" s="101">
        <v>19</v>
      </c>
      <c r="B32" s="102" t="s">
        <v>57</v>
      </c>
      <c r="C32" s="103" t="str">
        <f>'расчет 1'!B29</f>
        <v>Замена ТП-7417 
без учета КТП 400 кВА</v>
      </c>
      <c r="D32" s="104"/>
      <c r="E32" s="105">
        <f>'расчет 1'!H29</f>
        <v>395287</v>
      </c>
      <c r="F32" s="105">
        <f>'расчет 1'!I29</f>
        <v>0</v>
      </c>
      <c r="G32" s="104"/>
      <c r="H32" s="105">
        <f t="shared" si="2"/>
        <v>395287</v>
      </c>
    </row>
    <row r="33" spans="1:8" ht="25.5" x14ac:dyDescent="0.2">
      <c r="A33" s="14">
        <v>20</v>
      </c>
      <c r="B33" s="15" t="s">
        <v>57</v>
      </c>
      <c r="C33" s="82" t="str">
        <f>'расчет 1'!B30</f>
        <v>Замена ТП-7328 
без учета КТП 250 кВА</v>
      </c>
      <c r="D33" s="72"/>
      <c r="E33" s="73">
        <f>'расчет 1'!H30</f>
        <v>297381</v>
      </c>
      <c r="F33" s="73">
        <f>'расчет 1'!I30</f>
        <v>0</v>
      </c>
      <c r="G33" s="72"/>
      <c r="H33" s="73">
        <f t="shared" si="2"/>
        <v>297381</v>
      </c>
    </row>
    <row r="34" spans="1:8" ht="25.5" x14ac:dyDescent="0.2">
      <c r="A34" s="14">
        <v>21</v>
      </c>
      <c r="B34" s="15" t="s">
        <v>57</v>
      </c>
      <c r="C34" s="82" t="str">
        <f>'расчет 1'!B31</f>
        <v>Замена ТП-7331 
без учета КТП 250 кВА</v>
      </c>
      <c r="D34" s="72"/>
      <c r="E34" s="73">
        <f>'расчет 1'!H31</f>
        <v>297381</v>
      </c>
      <c r="F34" s="73">
        <f>'расчет 1'!I31</f>
        <v>0</v>
      </c>
      <c r="G34" s="72"/>
      <c r="H34" s="73">
        <f t="shared" si="2"/>
        <v>297381</v>
      </c>
    </row>
    <row r="35" spans="1:8" ht="25.5" x14ac:dyDescent="0.2">
      <c r="A35" s="14">
        <v>22</v>
      </c>
      <c r="B35" s="15" t="s">
        <v>57</v>
      </c>
      <c r="C35" s="82" t="str">
        <f>'расчет 1'!B32</f>
        <v>Замена ТП-7336 
без учета КТП 400 кВА</v>
      </c>
      <c r="D35" s="72"/>
      <c r="E35" s="73">
        <f>'расчет 1'!H32</f>
        <v>395287</v>
      </c>
      <c r="F35" s="73">
        <f>'расчет 1'!I32</f>
        <v>0</v>
      </c>
      <c r="G35" s="72"/>
      <c r="H35" s="73">
        <f t="shared" si="2"/>
        <v>395287</v>
      </c>
    </row>
    <row r="36" spans="1:8" ht="25.5" x14ac:dyDescent="0.2">
      <c r="A36" s="14">
        <v>23</v>
      </c>
      <c r="B36" s="15" t="s">
        <v>57</v>
      </c>
      <c r="C36" s="82" t="str">
        <f>'расчет 1'!B33</f>
        <v>Замена ТП-7352 
без учета КТП 400 кВА</v>
      </c>
      <c r="D36" s="72"/>
      <c r="E36" s="73">
        <f>'расчет 1'!H33</f>
        <v>395287</v>
      </c>
      <c r="F36" s="73">
        <f>'расчет 1'!I33</f>
        <v>0</v>
      </c>
      <c r="G36" s="72"/>
      <c r="H36" s="73">
        <f>SUM(D36:G36)</f>
        <v>395287</v>
      </c>
    </row>
    <row r="37" spans="1:8" ht="25.5" x14ac:dyDescent="0.2">
      <c r="A37" s="14">
        <v>24</v>
      </c>
      <c r="B37" s="15" t="s">
        <v>57</v>
      </c>
      <c r="C37" s="82" t="str">
        <f>'расчет 1'!B34</f>
        <v>Замена ТП-7366 
без учета КТП 400 кВА</v>
      </c>
      <c r="D37" s="72"/>
      <c r="E37" s="73">
        <f>'расчет 1'!H34</f>
        <v>395287</v>
      </c>
      <c r="F37" s="73">
        <f>'расчет 1'!I34</f>
        <v>0</v>
      </c>
      <c r="G37" s="72"/>
      <c r="H37" s="73">
        <f>SUM(D37:G37)</f>
        <v>395287</v>
      </c>
    </row>
    <row r="38" spans="1:8" x14ac:dyDescent="0.2">
      <c r="A38" s="16"/>
      <c r="B38" s="109" t="s">
        <v>7</v>
      </c>
      <c r="C38" s="110"/>
      <c r="D38" s="72">
        <f>SUM(D14:D14)</f>
        <v>0</v>
      </c>
      <c r="E38" s="72">
        <f>SUM(E14:E37)</f>
        <v>6921458</v>
      </c>
      <c r="F38" s="72">
        <f>SUM(F14:F37)</f>
        <v>176706</v>
      </c>
      <c r="G38" s="72">
        <f>SUM(G14:G14)</f>
        <v>0</v>
      </c>
      <c r="H38" s="73">
        <f>SUM(D38:G38)</f>
        <v>7098164</v>
      </c>
    </row>
    <row r="39" spans="1:8" x14ac:dyDescent="0.2">
      <c r="A39" s="107" t="s">
        <v>8</v>
      </c>
      <c r="B39" s="108"/>
      <c r="C39" s="108"/>
      <c r="D39" s="108"/>
      <c r="E39" s="108"/>
      <c r="F39" s="108"/>
      <c r="G39" s="108"/>
      <c r="H39" s="108"/>
    </row>
    <row r="40" spans="1:8" x14ac:dyDescent="0.2">
      <c r="A40" s="16"/>
      <c r="B40" s="109" t="s">
        <v>9</v>
      </c>
      <c r="C40" s="110"/>
      <c r="D40" s="67"/>
      <c r="E40" s="67"/>
      <c r="F40" s="67"/>
      <c r="G40" s="67"/>
      <c r="H40" s="67">
        <f>SUM(D40:G40)</f>
        <v>0</v>
      </c>
    </row>
    <row r="41" spans="1:8" x14ac:dyDescent="0.2">
      <c r="A41" s="107" t="s">
        <v>10</v>
      </c>
      <c r="B41" s="108"/>
      <c r="C41" s="108"/>
      <c r="D41" s="108"/>
      <c r="E41" s="108"/>
      <c r="F41" s="108"/>
      <c r="G41" s="108"/>
      <c r="H41" s="108"/>
    </row>
    <row r="42" spans="1:8" x14ac:dyDescent="0.2">
      <c r="A42" s="16"/>
      <c r="B42" s="109" t="s">
        <v>11</v>
      </c>
      <c r="C42" s="110"/>
      <c r="D42" s="72">
        <f>D40+D38</f>
        <v>0</v>
      </c>
      <c r="E42" s="72">
        <f t="shared" ref="E42:G42" si="3">E40+E38</f>
        <v>6921458</v>
      </c>
      <c r="F42" s="72">
        <f t="shared" si="3"/>
        <v>176706</v>
      </c>
      <c r="G42" s="72">
        <f t="shared" si="3"/>
        <v>0</v>
      </c>
      <c r="H42" s="73">
        <f>SUM(D42:G42)</f>
        <v>7098164</v>
      </c>
    </row>
    <row r="43" spans="1:8" x14ac:dyDescent="0.2">
      <c r="A43" s="107" t="s">
        <v>12</v>
      </c>
      <c r="B43" s="108"/>
      <c r="C43" s="108"/>
      <c r="D43" s="108"/>
      <c r="E43" s="108"/>
      <c r="F43" s="108"/>
      <c r="G43" s="108"/>
      <c r="H43" s="108"/>
    </row>
    <row r="44" spans="1:8" x14ac:dyDescent="0.2">
      <c r="A44" s="16"/>
      <c r="B44" s="109" t="s">
        <v>13</v>
      </c>
      <c r="C44" s="110"/>
      <c r="D44" s="72">
        <f>D42</f>
        <v>0</v>
      </c>
      <c r="E44" s="72">
        <f t="shared" ref="E44:G44" si="4">E42</f>
        <v>6921458</v>
      </c>
      <c r="F44" s="72">
        <f t="shared" si="4"/>
        <v>176706</v>
      </c>
      <c r="G44" s="72">
        <f t="shared" si="4"/>
        <v>0</v>
      </c>
      <c r="H44" s="73">
        <f>SUM(D44:G44)</f>
        <v>7098164</v>
      </c>
    </row>
    <row r="45" spans="1:8" x14ac:dyDescent="0.2">
      <c r="A45" s="107" t="s">
        <v>14</v>
      </c>
      <c r="B45" s="108"/>
      <c r="C45" s="108"/>
      <c r="D45" s="108"/>
      <c r="E45" s="108"/>
      <c r="F45" s="108"/>
      <c r="G45" s="108"/>
      <c r="H45" s="108"/>
    </row>
    <row r="46" spans="1:8" ht="65.25" customHeight="1" x14ac:dyDescent="0.2">
      <c r="A46" s="14">
        <v>25</v>
      </c>
      <c r="B46" s="15" t="s">
        <v>57</v>
      </c>
      <c r="C46" s="15" t="s">
        <v>96</v>
      </c>
      <c r="D46" s="72"/>
      <c r="E46" s="73">
        <f>'расчет 1'!K35-'расчет 1'!M35-'расчет 1'!N35</f>
        <v>3141946</v>
      </c>
      <c r="F46" s="72"/>
      <c r="G46" s="72"/>
      <c r="H46" s="73">
        <f>SUM(D46:G46)</f>
        <v>3141946</v>
      </c>
    </row>
    <row r="47" spans="1:8" x14ac:dyDescent="0.2">
      <c r="A47" s="14">
        <v>26</v>
      </c>
      <c r="B47" s="15" t="s">
        <v>57</v>
      </c>
      <c r="C47" s="15" t="s">
        <v>97</v>
      </c>
      <c r="D47" s="72"/>
      <c r="E47" s="73">
        <f>'расчет 1'!J35</f>
        <v>776441</v>
      </c>
      <c r="F47" s="72"/>
      <c r="G47" s="72"/>
      <c r="H47" s="73"/>
    </row>
    <row r="48" spans="1:8" x14ac:dyDescent="0.2">
      <c r="A48" s="16"/>
      <c r="B48" s="109" t="s">
        <v>15</v>
      </c>
      <c r="C48" s="110"/>
      <c r="D48" s="72">
        <f>SUM(D46:D46)</f>
        <v>0</v>
      </c>
      <c r="E48" s="72">
        <f>SUM(E46:E47)</f>
        <v>3918387</v>
      </c>
      <c r="F48" s="72">
        <f>SUM(F46:F46)</f>
        <v>0</v>
      </c>
      <c r="G48" s="72">
        <f>SUM(G46:G46)</f>
        <v>0</v>
      </c>
      <c r="H48" s="73">
        <f t="shared" ref="H48" si="5">SUM(D48:G48)</f>
        <v>3918387</v>
      </c>
    </row>
    <row r="49" spans="1:15" x14ac:dyDescent="0.2">
      <c r="A49" s="16"/>
      <c r="B49" s="109" t="s">
        <v>16</v>
      </c>
      <c r="C49" s="110"/>
      <c r="D49" s="72">
        <f>D44+D48</f>
        <v>0</v>
      </c>
      <c r="E49" s="72">
        <f>E44+E48</f>
        <v>10839845</v>
      </c>
      <c r="F49" s="72">
        <f>F44+F48</f>
        <v>176706</v>
      </c>
      <c r="G49" s="72">
        <f>G44+G48</f>
        <v>0</v>
      </c>
      <c r="H49" s="73">
        <f>SUM(D49:G49)</f>
        <v>11016551</v>
      </c>
    </row>
    <row r="50" spans="1:15" x14ac:dyDescent="0.2">
      <c r="A50" s="107" t="s">
        <v>17</v>
      </c>
      <c r="B50" s="108"/>
      <c r="C50" s="108"/>
      <c r="D50" s="108"/>
      <c r="E50" s="108"/>
      <c r="F50" s="108"/>
      <c r="G50" s="108"/>
      <c r="H50" s="108"/>
    </row>
    <row r="51" spans="1:15" x14ac:dyDescent="0.2">
      <c r="A51" s="16"/>
      <c r="B51" s="109" t="s">
        <v>18</v>
      </c>
      <c r="C51" s="110"/>
      <c r="D51" s="72"/>
      <c r="E51" s="72"/>
      <c r="F51" s="72"/>
      <c r="G51" s="72"/>
      <c r="H51" s="73">
        <f t="shared" ref="H51" si="6">SUM(D51:G51)</f>
        <v>0</v>
      </c>
    </row>
    <row r="52" spans="1:15" x14ac:dyDescent="0.2">
      <c r="A52" s="107" t="s">
        <v>19</v>
      </c>
      <c r="B52" s="108"/>
      <c r="C52" s="108"/>
      <c r="D52" s="108"/>
      <c r="E52" s="108"/>
      <c r="F52" s="108"/>
      <c r="G52" s="108"/>
      <c r="H52" s="108"/>
    </row>
    <row r="53" spans="1:15" x14ac:dyDescent="0.2">
      <c r="A53" s="14">
        <v>27</v>
      </c>
      <c r="B53" s="15" t="s">
        <v>57</v>
      </c>
      <c r="C53" s="15" t="s">
        <v>98</v>
      </c>
      <c r="D53" s="73">
        <f>'расчет 1'!M35</f>
        <v>496457</v>
      </c>
      <c r="E53" s="72"/>
      <c r="F53" s="72"/>
      <c r="G53" s="72"/>
      <c r="H53" s="73">
        <f>SUM(D53:G53)</f>
        <v>496457</v>
      </c>
    </row>
    <row r="54" spans="1:15" ht="27.95" customHeight="1" x14ac:dyDescent="0.2">
      <c r="A54" s="16"/>
      <c r="B54" s="109" t="s">
        <v>20</v>
      </c>
      <c r="C54" s="110"/>
      <c r="D54" s="73">
        <f>SUM(D53:D53)</f>
        <v>496457</v>
      </c>
      <c r="E54" s="73">
        <f>SUM(E53:E53)</f>
        <v>0</v>
      </c>
      <c r="F54" s="73">
        <f>SUM(F53:F53)</f>
        <v>0</v>
      </c>
      <c r="G54" s="73">
        <f>SUM(G53:G53)</f>
        <v>0</v>
      </c>
      <c r="H54" s="73">
        <f t="shared" ref="H54" si="7">SUM(D54:G54)</f>
        <v>496457</v>
      </c>
    </row>
    <row r="55" spans="1:15" s="17" customFormat="1" ht="21.75" customHeight="1" x14ac:dyDescent="0.2">
      <c r="A55" s="63"/>
      <c r="B55" s="116" t="s">
        <v>70</v>
      </c>
      <c r="C55" s="117"/>
      <c r="D55" s="74">
        <f>D54+D49</f>
        <v>496457</v>
      </c>
      <c r="E55" s="74">
        <f>E54+E49</f>
        <v>10839845</v>
      </c>
      <c r="F55" s="74">
        <f>F54+F49</f>
        <v>176706</v>
      </c>
      <c r="G55" s="74">
        <f>G54+G49</f>
        <v>0</v>
      </c>
      <c r="H55" s="74">
        <f>SUM(D55:G55)</f>
        <v>11513008</v>
      </c>
    </row>
    <row r="56" spans="1:15" ht="12.75" customHeight="1" x14ac:dyDescent="0.2">
      <c r="A56" s="118" t="s">
        <v>77</v>
      </c>
      <c r="B56" s="119"/>
      <c r="C56" s="119"/>
      <c r="D56" s="119"/>
      <c r="E56" s="119"/>
      <c r="F56" s="119"/>
      <c r="G56" s="119"/>
      <c r="H56" s="120"/>
    </row>
    <row r="57" spans="1:15" s="38" customFormat="1" x14ac:dyDescent="0.2">
      <c r="A57" s="37" t="s">
        <v>56</v>
      </c>
      <c r="B57" s="18">
        <v>2021</v>
      </c>
      <c r="C57" s="64">
        <v>1.0509999999999999</v>
      </c>
      <c r="D57" s="48">
        <f>ROUND(D55*$C$57,0)</f>
        <v>521776</v>
      </c>
      <c r="E57" s="48">
        <f>ROUND(E55*$C$57,0)</f>
        <v>11392677</v>
      </c>
      <c r="F57" s="48">
        <f>ROUND(F55*$C$57,0)</f>
        <v>185718</v>
      </c>
      <c r="G57" s="48">
        <f>ROUND(G55*$C$57,0)</f>
        <v>0</v>
      </c>
      <c r="H57" s="49">
        <f t="shared" ref="H57:H60" si="8">D57+E57+F57+G57</f>
        <v>12100171</v>
      </c>
    </row>
    <row r="58" spans="1:15" s="38" customFormat="1" x14ac:dyDescent="0.2">
      <c r="A58" s="37" t="s">
        <v>23</v>
      </c>
      <c r="B58" s="18">
        <v>2022</v>
      </c>
      <c r="C58" s="64">
        <v>1.048</v>
      </c>
      <c r="D58" s="48">
        <v>0</v>
      </c>
      <c r="E58" s="48">
        <v>0</v>
      </c>
      <c r="F58" s="48">
        <v>0</v>
      </c>
      <c r="G58" s="48">
        <v>0</v>
      </c>
      <c r="H58" s="49">
        <f>D58+E58+F58+G58</f>
        <v>0</v>
      </c>
      <c r="N58" s="39"/>
      <c r="O58" s="39"/>
    </row>
    <row r="59" spans="1:15" s="38" customFormat="1" x14ac:dyDescent="0.2">
      <c r="A59" s="37" t="s">
        <v>54</v>
      </c>
      <c r="B59" s="18">
        <v>2023</v>
      </c>
      <c r="C59" s="64">
        <v>1.0469999999999999</v>
      </c>
      <c r="D59" s="48">
        <v>0</v>
      </c>
      <c r="E59" s="48">
        <v>0</v>
      </c>
      <c r="F59" s="48">
        <v>0</v>
      </c>
      <c r="G59" s="48">
        <v>0</v>
      </c>
      <c r="H59" s="49">
        <f t="shared" si="8"/>
        <v>0</v>
      </c>
      <c r="N59" s="41"/>
      <c r="O59" s="39"/>
    </row>
    <row r="60" spans="1:15" s="38" customFormat="1" x14ac:dyDescent="0.2">
      <c r="A60" s="37" t="s">
        <v>55</v>
      </c>
      <c r="B60" s="18">
        <v>2024</v>
      </c>
      <c r="C60" s="64">
        <v>1.038</v>
      </c>
      <c r="D60" s="48">
        <v>0</v>
      </c>
      <c r="E60" s="48">
        <v>0</v>
      </c>
      <c r="F60" s="48">
        <v>0</v>
      </c>
      <c r="G60" s="48">
        <v>0</v>
      </c>
      <c r="H60" s="49">
        <f t="shared" si="8"/>
        <v>0</v>
      </c>
      <c r="N60" s="41"/>
      <c r="O60" s="39"/>
    </row>
    <row r="61" spans="1:15" s="38" customFormat="1" x14ac:dyDescent="0.2">
      <c r="A61" s="37" t="s">
        <v>55</v>
      </c>
      <c r="B61" s="18">
        <v>2025</v>
      </c>
      <c r="C61" s="64">
        <v>1.0429999999999999</v>
      </c>
      <c r="D61" s="48">
        <v>0</v>
      </c>
      <c r="E61" s="48">
        <v>0</v>
      </c>
      <c r="F61" s="48">
        <v>0</v>
      </c>
      <c r="G61" s="48">
        <v>0</v>
      </c>
      <c r="H61" s="49">
        <f t="shared" ref="H61" si="9">D61+E61+F61+G61</f>
        <v>0</v>
      </c>
      <c r="N61" s="41"/>
      <c r="O61" s="39"/>
    </row>
    <row r="62" spans="1:15" ht="16.5" customHeight="1" x14ac:dyDescent="0.2">
      <c r="A62" s="121" t="s">
        <v>78</v>
      </c>
      <c r="B62" s="122"/>
      <c r="C62" s="123"/>
      <c r="D62" s="54">
        <f>D61+D57+D58+D59+D60</f>
        <v>521776</v>
      </c>
      <c r="E62" s="54">
        <f t="shared" ref="E62:G62" si="10">E61+E57+E58+E59+E60</f>
        <v>11392677</v>
      </c>
      <c r="F62" s="54">
        <f t="shared" si="10"/>
        <v>185718</v>
      </c>
      <c r="G62" s="54">
        <f t="shared" si="10"/>
        <v>0</v>
      </c>
      <c r="H62" s="54">
        <f>D62+E62+F62+G62</f>
        <v>12100171</v>
      </c>
    </row>
    <row r="63" spans="1:15" s="36" customFormat="1" ht="18" customHeight="1" x14ac:dyDescent="0.2">
      <c r="A63" s="121" t="s">
        <v>76</v>
      </c>
      <c r="B63" s="122"/>
      <c r="C63" s="123"/>
      <c r="D63" s="75">
        <f>ROUND(D62*0.2,2)</f>
        <v>104355.2</v>
      </c>
      <c r="E63" s="75">
        <f t="shared" ref="E63:G63" si="11">ROUND(E62*0.2,2)</f>
        <v>2278535.4</v>
      </c>
      <c r="F63" s="75">
        <f t="shared" si="11"/>
        <v>37143.599999999999</v>
      </c>
      <c r="G63" s="75">
        <f t="shared" si="11"/>
        <v>0</v>
      </c>
      <c r="H63" s="75">
        <f>SUM(D63:G63)</f>
        <v>2420034.2000000002</v>
      </c>
    </row>
    <row r="64" spans="1:15" ht="16.5" customHeight="1" x14ac:dyDescent="0.2">
      <c r="A64" s="121" t="s">
        <v>79</v>
      </c>
      <c r="B64" s="122"/>
      <c r="C64" s="123"/>
      <c r="D64" s="54">
        <f>D62+D63</f>
        <v>626131.19999999995</v>
      </c>
      <c r="E64" s="54">
        <f t="shared" ref="E64:G64" si="12">E62+E63</f>
        <v>13671212.4</v>
      </c>
      <c r="F64" s="54">
        <f t="shared" si="12"/>
        <v>222861.6</v>
      </c>
      <c r="G64" s="54">
        <f t="shared" si="12"/>
        <v>0</v>
      </c>
      <c r="H64" s="54">
        <f>D64+E64+F64+G64</f>
        <v>14520205.199999999</v>
      </c>
    </row>
    <row r="66" spans="1:16" s="87" customFormat="1" ht="15" x14ac:dyDescent="0.25">
      <c r="A66" s="85"/>
      <c r="B66" s="86"/>
      <c r="D66" s="88"/>
      <c r="E66" s="89"/>
      <c r="F66" s="90"/>
      <c r="G66" s="114"/>
      <c r="H66" s="114"/>
      <c r="K66" s="91"/>
      <c r="L66" s="91"/>
      <c r="M66" s="85"/>
      <c r="N66" s="85"/>
      <c r="O66" s="85"/>
      <c r="P66" s="85"/>
    </row>
    <row r="67" spans="1:16" s="87" customFormat="1" ht="15" customHeight="1" x14ac:dyDescent="0.25">
      <c r="A67" s="92"/>
      <c r="B67" s="93"/>
      <c r="D67" s="93"/>
      <c r="E67" s="93"/>
      <c r="F67" s="90"/>
      <c r="G67" s="90"/>
      <c r="H67" s="93"/>
      <c r="K67" s="93"/>
      <c r="L67" s="93"/>
      <c r="M67" s="93"/>
      <c r="N67" s="93"/>
      <c r="O67" s="93"/>
      <c r="P67" s="93"/>
    </row>
    <row r="68" spans="1:16" s="87" customFormat="1" ht="18.75" customHeight="1" x14ac:dyDescent="0.25">
      <c r="A68" s="85"/>
      <c r="B68" s="86"/>
      <c r="D68" s="94"/>
      <c r="E68" s="89"/>
      <c r="F68" s="90"/>
      <c r="G68" s="115"/>
      <c r="H68" s="115"/>
      <c r="K68" s="95"/>
      <c r="L68" s="95"/>
      <c r="M68" s="85"/>
      <c r="N68" s="85"/>
      <c r="O68" s="85"/>
      <c r="P68" s="85"/>
    </row>
    <row r="69" spans="1:16" s="87" customFormat="1" ht="15" customHeight="1" x14ac:dyDescent="0.25">
      <c r="A69" s="92"/>
      <c r="B69" s="93"/>
      <c r="D69" s="93"/>
      <c r="E69" s="93"/>
      <c r="F69" s="90"/>
      <c r="G69" s="90"/>
      <c r="H69" s="93"/>
      <c r="K69" s="93"/>
      <c r="L69" s="93"/>
      <c r="M69" s="93"/>
      <c r="N69" s="93"/>
      <c r="O69" s="93"/>
      <c r="P69" s="93"/>
    </row>
    <row r="70" spans="1:16" s="87" customFormat="1" ht="15.75" customHeight="1" x14ac:dyDescent="0.25">
      <c r="A70" s="85"/>
      <c r="B70" s="86"/>
      <c r="D70" s="94"/>
      <c r="E70" s="89"/>
      <c r="F70" s="90"/>
      <c r="G70" s="115"/>
      <c r="H70" s="115"/>
      <c r="K70" s="95"/>
      <c r="L70" s="95"/>
      <c r="M70" s="85"/>
      <c r="N70" s="85"/>
      <c r="O70" s="85"/>
      <c r="P70" s="85"/>
    </row>
    <row r="71" spans="1:16" s="87" customFormat="1" ht="15" x14ac:dyDescent="0.25">
      <c r="A71" s="85"/>
      <c r="B71" s="89"/>
      <c r="D71" s="89"/>
      <c r="E71" s="89"/>
      <c r="F71" s="90"/>
      <c r="G71" s="90"/>
      <c r="H71" s="89"/>
      <c r="K71" s="90"/>
      <c r="L71" s="85"/>
      <c r="M71" s="85"/>
      <c r="N71" s="85"/>
      <c r="O71" s="85"/>
      <c r="P71" s="85"/>
    </row>
    <row r="72" spans="1:16" s="87" customFormat="1" ht="15" customHeight="1" x14ac:dyDescent="0.25">
      <c r="A72" s="85"/>
      <c r="B72" s="86"/>
      <c r="D72" s="96"/>
      <c r="E72" s="89"/>
      <c r="F72" s="90"/>
      <c r="G72" s="115"/>
      <c r="H72" s="115"/>
      <c r="K72" s="95"/>
      <c r="L72" s="95"/>
      <c r="M72" s="85"/>
      <c r="N72" s="85"/>
      <c r="O72" s="85"/>
      <c r="P72" s="85"/>
    </row>
  </sheetData>
  <mergeCells count="33">
    <mergeCell ref="G66:H66"/>
    <mergeCell ref="G68:H68"/>
    <mergeCell ref="G70:H70"/>
    <mergeCell ref="G72:H72"/>
    <mergeCell ref="B55:C55"/>
    <mergeCell ref="A56:H56"/>
    <mergeCell ref="A62:C62"/>
    <mergeCell ref="A64:C64"/>
    <mergeCell ref="A63:C63"/>
    <mergeCell ref="B42:C42"/>
    <mergeCell ref="A8:A11"/>
    <mergeCell ref="B8:B11"/>
    <mergeCell ref="C8:C11"/>
    <mergeCell ref="A41:H41"/>
    <mergeCell ref="D8:G8"/>
    <mergeCell ref="A13:H13"/>
    <mergeCell ref="B38:C38"/>
    <mergeCell ref="A39:H39"/>
    <mergeCell ref="B40:C40"/>
    <mergeCell ref="H8:H11"/>
    <mergeCell ref="D9:D11"/>
    <mergeCell ref="E9:E11"/>
    <mergeCell ref="F9:F11"/>
    <mergeCell ref="G9:G11"/>
    <mergeCell ref="A50:H50"/>
    <mergeCell ref="B51:C51"/>
    <mergeCell ref="A52:H52"/>
    <mergeCell ref="B54:C54"/>
    <mergeCell ref="A43:H43"/>
    <mergeCell ref="B44:C44"/>
    <mergeCell ref="A45:H45"/>
    <mergeCell ref="B48:C48"/>
    <mergeCell ref="B49:C49"/>
  </mergeCells>
  <pageMargins left="0.78740157480314965" right="0.39370078740157483" top="0.43307086614173229" bottom="0.47244094488188981" header="0.23622047244094491" footer="0.23622047244094491"/>
  <pageSetup paperSize="9" scale="93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topLeftCell="D28" zoomScaleNormal="85" zoomScaleSheetLayoutView="100" workbookViewId="0">
      <selection activeCell="J37" sqref="J37:L37"/>
    </sheetView>
  </sheetViews>
  <sheetFormatPr defaultRowHeight="12.75" x14ac:dyDescent="0.2"/>
  <cols>
    <col min="1" max="1" width="3.85546875" style="19" customWidth="1"/>
    <col min="2" max="2" width="44.5703125" style="19" customWidth="1"/>
    <col min="3" max="3" width="10.28515625" style="19" customWidth="1"/>
    <col min="4" max="4" width="11" style="19" customWidth="1"/>
    <col min="5" max="5" width="7.85546875" style="19" customWidth="1"/>
    <col min="6" max="6" width="16.85546875" style="19" customWidth="1"/>
    <col min="7" max="7" width="13.42578125" style="19" customWidth="1"/>
    <col min="8" max="12" width="15.7109375" style="19" customWidth="1"/>
    <col min="13" max="14" width="12.85546875" style="19" customWidth="1"/>
    <col min="15" max="16384" width="9.140625" style="19"/>
  </cols>
  <sheetData>
    <row r="1" spans="1:14" ht="18.75" x14ac:dyDescent="0.3">
      <c r="A1" s="124" t="s">
        <v>53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4" x14ac:dyDescent="0.2">
      <c r="G2" s="33"/>
    </row>
    <row r="3" spans="1:14" s="76" customFormat="1" ht="15" customHeight="1" x14ac:dyDescent="0.25">
      <c r="A3" s="132" t="s">
        <v>52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4" s="78" customFormat="1" ht="15" x14ac:dyDescent="0.25">
      <c r="A4" s="133" t="s">
        <v>74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77"/>
    </row>
    <row r="5" spans="1:14" s="80" customFormat="1" ht="15.75" customHeight="1" x14ac:dyDescent="0.25">
      <c r="A5" s="79"/>
      <c r="B5" s="131" t="s">
        <v>73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79"/>
      <c r="N5" s="79"/>
    </row>
    <row r="6" spans="1:14" ht="9.7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4" s="31" customFormat="1" ht="15.75" x14ac:dyDescent="0.25">
      <c r="A7" s="32"/>
      <c r="B7" s="129" t="str">
        <f>Т!D3</f>
        <v>Реконструкция распределительных сетей 6/0,4 кВ г.Партизанск с заменой ТП</v>
      </c>
      <c r="C7" s="130"/>
      <c r="D7" s="130"/>
      <c r="E7" s="130"/>
      <c r="F7" s="130"/>
      <c r="G7" s="130"/>
      <c r="I7" s="42"/>
      <c r="J7" s="40"/>
      <c r="K7" s="40"/>
    </row>
    <row r="8" spans="1:14" ht="8.25" customHeight="1" x14ac:dyDescent="0.2"/>
    <row r="9" spans="1:14" x14ac:dyDescent="0.2">
      <c r="A9" s="125" t="s">
        <v>51</v>
      </c>
      <c r="B9" s="125" t="s">
        <v>50</v>
      </c>
      <c r="C9" s="125" t="s">
        <v>49</v>
      </c>
      <c r="D9" s="125" t="s">
        <v>48</v>
      </c>
      <c r="E9" s="125" t="s">
        <v>47</v>
      </c>
      <c r="F9" s="135" t="s">
        <v>46</v>
      </c>
      <c r="G9" s="125" t="s">
        <v>45</v>
      </c>
      <c r="H9" s="125" t="s">
        <v>75</v>
      </c>
      <c r="I9" s="125"/>
      <c r="J9" s="125"/>
      <c r="K9" s="125"/>
      <c r="L9" s="127" t="s">
        <v>44</v>
      </c>
      <c r="M9" s="134" t="s">
        <v>43</v>
      </c>
      <c r="N9" s="134"/>
    </row>
    <row r="10" spans="1:14" ht="72" customHeight="1" x14ac:dyDescent="0.2">
      <c r="A10" s="125"/>
      <c r="B10" s="125"/>
      <c r="C10" s="125"/>
      <c r="D10" s="126"/>
      <c r="E10" s="125"/>
      <c r="F10" s="135"/>
      <c r="G10" s="126"/>
      <c r="H10" s="30" t="s">
        <v>80</v>
      </c>
      <c r="I10" s="30" t="s">
        <v>42</v>
      </c>
      <c r="J10" s="30" t="s">
        <v>41</v>
      </c>
      <c r="K10" s="30" t="s">
        <v>40</v>
      </c>
      <c r="L10" s="128"/>
      <c r="M10" s="29" t="s">
        <v>21</v>
      </c>
      <c r="N10" s="29" t="s">
        <v>39</v>
      </c>
    </row>
    <row r="11" spans="1:14" ht="25.5" x14ac:dyDescent="0.2">
      <c r="A11" s="98">
        <v>1</v>
      </c>
      <c r="B11" s="97" t="s">
        <v>101</v>
      </c>
      <c r="C11" s="55" t="s">
        <v>82</v>
      </c>
      <c r="D11" s="84">
        <v>298.89999999999998</v>
      </c>
      <c r="E11" s="56">
        <v>1</v>
      </c>
      <c r="F11" s="56">
        <f t="shared" ref="F11" si="0">ROUND(((1.5+2.5+7.5+5+1.5)/100+1)*1.09,3)</f>
        <v>1.286</v>
      </c>
      <c r="G11" s="57">
        <f>ROUND((D11*E11*F11),2)</f>
        <v>384.39</v>
      </c>
      <c r="H11" s="58">
        <f>ROUND((0.455*G11*1.09*$H$37*1000*10.14),0)</f>
        <v>577209</v>
      </c>
      <c r="I11" s="58">
        <f>ROUND((0.3*G11*1.09*$H$37*1000*5.27),0)*0</f>
        <v>0</v>
      </c>
      <c r="J11" s="58">
        <f>ROUND((0.025*G11*1.09*$H$37*1000*27.94),0)</f>
        <v>87388</v>
      </c>
      <c r="K11" s="58">
        <f>ROUND((0.22*G11*1.09*$H$37*1000*10.42),0)</f>
        <v>286796</v>
      </c>
      <c r="L11" s="70">
        <f t="shared" ref="L11:L17" si="1">SUM(H11:K11)</f>
        <v>951393</v>
      </c>
      <c r="M11" s="66">
        <f t="shared" ref="M11:M17" si="2">ROUND((L11*0.07)*0.6,0)</f>
        <v>39959</v>
      </c>
      <c r="N11" s="66">
        <f t="shared" ref="N11:N17" si="3">ROUND((L11*0.026),0)</f>
        <v>24736</v>
      </c>
    </row>
    <row r="12" spans="1:14" ht="25.5" x14ac:dyDescent="0.2">
      <c r="A12" s="98">
        <v>2</v>
      </c>
      <c r="B12" s="97" t="s">
        <v>102</v>
      </c>
      <c r="C12" s="55" t="s">
        <v>82</v>
      </c>
      <c r="D12" s="84">
        <v>154</v>
      </c>
      <c r="E12" s="56">
        <v>1</v>
      </c>
      <c r="F12" s="56">
        <f t="shared" ref="F12:F18" si="4">ROUND(((1.5+2.5+7.5+5+1.5)/100+1)*1.09,3)</f>
        <v>1.286</v>
      </c>
      <c r="G12" s="57">
        <f t="shared" ref="G12:G34" si="5">ROUND((D12*E12*F12),2)</f>
        <v>198.04</v>
      </c>
      <c r="H12" s="58">
        <f>ROUND((0.455*G12*1.09*$H$37*1000*10.14),0)</f>
        <v>297381</v>
      </c>
      <c r="I12" s="58">
        <f>ROUND((0.3*G12*1.09*$H$37*1000*5.27),0)*0</f>
        <v>0</v>
      </c>
      <c r="J12" s="58">
        <f>ROUND((0.025*G12*1.09*$H$37*1000*27.94),0)</f>
        <v>45023</v>
      </c>
      <c r="K12" s="58">
        <f>ROUND((0.22*G12*1.09*$H$37*1000*10.42),0)</f>
        <v>147759</v>
      </c>
      <c r="L12" s="70">
        <f t="shared" si="1"/>
        <v>490163</v>
      </c>
      <c r="M12" s="66">
        <f t="shared" si="2"/>
        <v>20587</v>
      </c>
      <c r="N12" s="66">
        <f t="shared" si="3"/>
        <v>12744</v>
      </c>
    </row>
    <row r="13" spans="1:14" ht="25.5" x14ac:dyDescent="0.2">
      <c r="A13" s="98">
        <v>3</v>
      </c>
      <c r="B13" s="97" t="s">
        <v>103</v>
      </c>
      <c r="C13" s="55" t="s">
        <v>82</v>
      </c>
      <c r="D13" s="84">
        <v>204.7</v>
      </c>
      <c r="E13" s="56">
        <v>1</v>
      </c>
      <c r="F13" s="56">
        <f t="shared" si="4"/>
        <v>1.286</v>
      </c>
      <c r="G13" s="57">
        <f t="shared" si="5"/>
        <v>263.24</v>
      </c>
      <c r="H13" s="58">
        <f>ROUND((0.455*G13*1.09*$H$37*1000*10.14),0)</f>
        <v>395287</v>
      </c>
      <c r="I13" s="58">
        <f>ROUND((0.3*G13*1.09*$H$37*1000*5.27),0)*0</f>
        <v>0</v>
      </c>
      <c r="J13" s="58">
        <f>ROUND((0.025*G13*1.09*$H$37*1000*27.94),0)</f>
        <v>59845</v>
      </c>
      <c r="K13" s="58">
        <f>ROUND((0.22*G13*1.09*$H$37*1000*10.42),0)</f>
        <v>196406</v>
      </c>
      <c r="L13" s="70">
        <f t="shared" si="1"/>
        <v>651538</v>
      </c>
      <c r="M13" s="66">
        <f t="shared" si="2"/>
        <v>27365</v>
      </c>
      <c r="N13" s="66">
        <f t="shared" si="3"/>
        <v>16940</v>
      </c>
    </row>
    <row r="14" spans="1:14" ht="46.5" customHeight="1" x14ac:dyDescent="0.2">
      <c r="A14" s="98">
        <v>4</v>
      </c>
      <c r="B14" s="97" t="s">
        <v>104</v>
      </c>
      <c r="C14" s="55" t="s">
        <v>59</v>
      </c>
      <c r="D14" s="84">
        <v>229.2</v>
      </c>
      <c r="E14" s="56">
        <v>0.2</v>
      </c>
      <c r="F14" s="56">
        <f t="shared" ref="F14:F17" si="6">ROUND(((1.5+2.5+7.5+5+1.5)/100+1)*1.12,3)</f>
        <v>1.3220000000000001</v>
      </c>
      <c r="G14" s="57">
        <f t="shared" si="5"/>
        <v>60.6</v>
      </c>
      <c r="H14" s="58">
        <f>ROUND(((0.8*G14*1.09*$H$37*1000*6.49)-(5*10000+0.2*110500)),0)</f>
        <v>30304</v>
      </c>
      <c r="I14" s="58">
        <f t="shared" ref="I14:I17" si="7">ROUND((0.04*G14*1.09*$H$37*1000*5.27),0)</f>
        <v>4158</v>
      </c>
      <c r="J14" s="58">
        <f t="shared" ref="J14:J17" si="8">ROUND((0*G14*1.09*$H$37*1000*27.94),0)</f>
        <v>0</v>
      </c>
      <c r="K14" s="58">
        <f t="shared" ref="K14:K17" si="9">ROUND((0.16*G14*1.09*$H$37*1000*10.42),0)</f>
        <v>32883</v>
      </c>
      <c r="L14" s="70">
        <f t="shared" si="1"/>
        <v>67345</v>
      </c>
      <c r="M14" s="66">
        <f t="shared" si="2"/>
        <v>2828</v>
      </c>
      <c r="N14" s="66">
        <f t="shared" si="3"/>
        <v>1751</v>
      </c>
    </row>
    <row r="15" spans="1:14" ht="46.5" customHeight="1" x14ac:dyDescent="0.2">
      <c r="A15" s="98">
        <v>5</v>
      </c>
      <c r="B15" s="97" t="s">
        <v>105</v>
      </c>
      <c r="C15" s="55" t="s">
        <v>59</v>
      </c>
      <c r="D15" s="84">
        <v>229.2</v>
      </c>
      <c r="E15" s="56">
        <v>0.2</v>
      </c>
      <c r="F15" s="56">
        <f t="shared" si="6"/>
        <v>1.3220000000000001</v>
      </c>
      <c r="G15" s="57">
        <f t="shared" si="5"/>
        <v>60.6</v>
      </c>
      <c r="H15" s="58">
        <f>ROUND(((0.8*G15*1.09*$H$37*1000*6.49)-(5*10000+0.2*110500)),0)</f>
        <v>30304</v>
      </c>
      <c r="I15" s="58">
        <f t="shared" si="7"/>
        <v>4158</v>
      </c>
      <c r="J15" s="58">
        <f t="shared" si="8"/>
        <v>0</v>
      </c>
      <c r="K15" s="58">
        <f t="shared" si="9"/>
        <v>32883</v>
      </c>
      <c r="L15" s="70">
        <f t="shared" si="1"/>
        <v>67345</v>
      </c>
      <c r="M15" s="66">
        <f t="shared" si="2"/>
        <v>2828</v>
      </c>
      <c r="N15" s="66">
        <f t="shared" si="3"/>
        <v>1751</v>
      </c>
    </row>
    <row r="16" spans="1:14" ht="44.25" customHeight="1" x14ac:dyDescent="0.2">
      <c r="A16" s="98">
        <v>6</v>
      </c>
      <c r="B16" s="97" t="s">
        <v>106</v>
      </c>
      <c r="C16" s="55" t="s">
        <v>59</v>
      </c>
      <c r="D16" s="84">
        <v>229.2</v>
      </c>
      <c r="E16" s="56">
        <v>0.1</v>
      </c>
      <c r="F16" s="56">
        <f t="shared" si="6"/>
        <v>1.3220000000000001</v>
      </c>
      <c r="G16" s="57">
        <f t="shared" si="5"/>
        <v>30.3</v>
      </c>
      <c r="H16" s="58">
        <f>ROUND(((0.8*G16*1.09*$H$37*1000*6.49)-(3*10000+0.1*110500)),0)</f>
        <v>10152</v>
      </c>
      <c r="I16" s="58">
        <f t="shared" si="7"/>
        <v>2079</v>
      </c>
      <c r="J16" s="58">
        <f t="shared" si="8"/>
        <v>0</v>
      </c>
      <c r="K16" s="58">
        <f t="shared" si="9"/>
        <v>16442</v>
      </c>
      <c r="L16" s="70">
        <f t="shared" si="1"/>
        <v>28673</v>
      </c>
      <c r="M16" s="66">
        <f t="shared" si="2"/>
        <v>1204</v>
      </c>
      <c r="N16" s="66">
        <f t="shared" si="3"/>
        <v>745</v>
      </c>
    </row>
    <row r="17" spans="1:14" ht="42" customHeight="1" x14ac:dyDescent="0.2">
      <c r="A17" s="98">
        <v>7</v>
      </c>
      <c r="B17" s="97" t="s">
        <v>107</v>
      </c>
      <c r="C17" s="55" t="s">
        <v>59</v>
      </c>
      <c r="D17" s="84">
        <v>229.2</v>
      </c>
      <c r="E17" s="56">
        <v>0.3</v>
      </c>
      <c r="F17" s="56">
        <f t="shared" si="6"/>
        <v>1.3220000000000001</v>
      </c>
      <c r="G17" s="57">
        <f t="shared" si="5"/>
        <v>90.9</v>
      </c>
      <c r="H17" s="58">
        <f>ROUND(((0.8*G17*1.09*$H$37*1000*6.49)-(7*10000+0.3*110500)),0)</f>
        <v>50457</v>
      </c>
      <c r="I17" s="58">
        <f t="shared" si="7"/>
        <v>6237</v>
      </c>
      <c r="J17" s="58">
        <f t="shared" si="8"/>
        <v>0</v>
      </c>
      <c r="K17" s="58">
        <f t="shared" si="9"/>
        <v>49325</v>
      </c>
      <c r="L17" s="70">
        <f t="shared" si="1"/>
        <v>106019</v>
      </c>
      <c r="M17" s="66">
        <f t="shared" si="2"/>
        <v>4453</v>
      </c>
      <c r="N17" s="66">
        <f t="shared" si="3"/>
        <v>2756</v>
      </c>
    </row>
    <row r="18" spans="1:14" ht="25.5" x14ac:dyDescent="0.2">
      <c r="A18" s="98">
        <v>8</v>
      </c>
      <c r="B18" s="97" t="s">
        <v>108</v>
      </c>
      <c r="C18" s="55" t="s">
        <v>82</v>
      </c>
      <c r="D18" s="84">
        <v>204.7</v>
      </c>
      <c r="E18" s="56">
        <v>1</v>
      </c>
      <c r="F18" s="56">
        <f t="shared" si="4"/>
        <v>1.286</v>
      </c>
      <c r="G18" s="57">
        <f t="shared" si="5"/>
        <v>263.24</v>
      </c>
      <c r="H18" s="58">
        <f>ROUND((0.455*G18*1.09*$H$37*1000*10.14),0)</f>
        <v>395287</v>
      </c>
      <c r="I18" s="58">
        <f>ROUND((0.3*G18*1.09*$H$37*1000*5.27),0)*0</f>
        <v>0</v>
      </c>
      <c r="J18" s="58">
        <f>ROUND((0.025*G18*1.09*$H$37*1000*27.94),0)</f>
        <v>59845</v>
      </c>
      <c r="K18" s="58">
        <f>ROUND((0.22*G18*1.09*$H$37*1000*10.42),0)</f>
        <v>196406</v>
      </c>
      <c r="L18" s="70">
        <f t="shared" ref="L18" si="10">SUM(H18:K18)</f>
        <v>651538</v>
      </c>
      <c r="M18" s="66">
        <f t="shared" ref="M18" si="11">ROUND((L18*0.07)*0.6,0)</f>
        <v>27365</v>
      </c>
      <c r="N18" s="66">
        <f t="shared" ref="N18" si="12">ROUND((L18*0.026),0)</f>
        <v>16940</v>
      </c>
    </row>
    <row r="19" spans="1:14" ht="25.5" x14ac:dyDescent="0.2">
      <c r="A19" s="98">
        <v>9</v>
      </c>
      <c r="B19" s="97" t="s">
        <v>109</v>
      </c>
      <c r="C19" s="55" t="s">
        <v>82</v>
      </c>
      <c r="D19" s="84">
        <v>154</v>
      </c>
      <c r="E19" s="56">
        <v>1</v>
      </c>
      <c r="F19" s="56">
        <f t="shared" ref="F19" si="13">ROUND(((1.5+2.5+7.5+5+1.5)/100+1)*1.09,3)</f>
        <v>1.286</v>
      </c>
      <c r="G19" s="57">
        <f t="shared" si="5"/>
        <v>198.04</v>
      </c>
      <c r="H19" s="58">
        <f>ROUND((0.455*G19*1.09*$H$37*1000*10.14),0)</f>
        <v>297381</v>
      </c>
      <c r="I19" s="58">
        <f>ROUND((0.3*G19*1.09*$H$37*1000*5.27),0)*0</f>
        <v>0</v>
      </c>
      <c r="J19" s="58">
        <f>ROUND((0.025*G19*1.09*$H$37*1000*27.94),0)</f>
        <v>45023</v>
      </c>
      <c r="K19" s="58">
        <f>ROUND((0.22*G19*1.09*$H$37*1000*10.42),0)</f>
        <v>147759</v>
      </c>
      <c r="L19" s="70">
        <f t="shared" ref="L19" si="14">SUM(H19:K19)</f>
        <v>490163</v>
      </c>
      <c r="M19" s="66">
        <f t="shared" ref="M19" si="15">ROUND((L19*0.07)*0.6,0)</f>
        <v>20587</v>
      </c>
      <c r="N19" s="66">
        <f t="shared" ref="N19" si="16">ROUND((L19*0.026),0)</f>
        <v>12744</v>
      </c>
    </row>
    <row r="20" spans="1:14" ht="38.25" x14ac:dyDescent="0.2">
      <c r="A20" s="98">
        <v>10</v>
      </c>
      <c r="B20" s="97" t="s">
        <v>110</v>
      </c>
      <c r="C20" s="55" t="s">
        <v>59</v>
      </c>
      <c r="D20" s="84">
        <v>229.2</v>
      </c>
      <c r="E20" s="56">
        <v>0.3</v>
      </c>
      <c r="F20" s="56">
        <f t="shared" ref="F20:F28" si="17">ROUND(((1.5+2.5+7.5+5+1.5)/100+1)*1.12,3)</f>
        <v>1.3220000000000001</v>
      </c>
      <c r="G20" s="57">
        <f t="shared" si="5"/>
        <v>90.9</v>
      </c>
      <c r="H20" s="58">
        <f>ROUND(((0.8*G20*1.09*$H$37*1000*6.49)-(8*10000+0.3*110500)),0)</f>
        <v>40457</v>
      </c>
      <c r="I20" s="58">
        <f>ROUND((0.04*G20*1.09*$H$37*1000*5.27),0)</f>
        <v>6237</v>
      </c>
      <c r="J20" s="58">
        <f>ROUND((0*G20*1.09*$H$37*1000*27.94),0)</f>
        <v>0</v>
      </c>
      <c r="K20" s="58">
        <f>ROUND((0.16*G20*1.09*$H$37*1000*10.42),0)</f>
        <v>49325</v>
      </c>
      <c r="L20" s="70">
        <f t="shared" ref="L20" si="18">SUM(H20:K20)</f>
        <v>96019</v>
      </c>
      <c r="M20" s="66">
        <f t="shared" ref="M20" si="19">ROUND((L20*0.07)*0.6,0)</f>
        <v>4033</v>
      </c>
      <c r="N20" s="66">
        <f t="shared" ref="N20" si="20">ROUND((L20*0.026),0)</f>
        <v>2496</v>
      </c>
    </row>
    <row r="21" spans="1:14" ht="38.25" x14ac:dyDescent="0.2">
      <c r="A21" s="98">
        <v>11</v>
      </c>
      <c r="B21" s="97" t="s">
        <v>111</v>
      </c>
      <c r="C21" s="55" t="s">
        <v>59</v>
      </c>
      <c r="D21" s="84">
        <v>229.2</v>
      </c>
      <c r="E21" s="56">
        <v>0.7</v>
      </c>
      <c r="F21" s="56">
        <v>1.3220000000000001</v>
      </c>
      <c r="G21" s="57">
        <f t="shared" si="5"/>
        <v>212.1</v>
      </c>
      <c r="H21" s="58">
        <f>ROUND(((0.8*G21*1.09*$H$37*1000*6.49)-(18*10000+0.7*110500)),0)</f>
        <v>101065</v>
      </c>
      <c r="I21" s="58">
        <f t="shared" ref="I21:I22" si="21">ROUND((0.04*G21*1.09*$H$37*1000*5.27),0)</f>
        <v>14552</v>
      </c>
      <c r="J21" s="58">
        <f t="shared" ref="J21:J22" si="22">ROUND((0*G21*1.09*$H$37*1000*27.94),0)</f>
        <v>0</v>
      </c>
      <c r="K21" s="58">
        <f t="shared" ref="K21:K22" si="23">ROUND((0.16*G21*1.09*$H$37*1000*10.42),0)</f>
        <v>115091</v>
      </c>
      <c r="L21" s="70">
        <f t="shared" ref="L21:L22" si="24">SUM(H21:K21)</f>
        <v>230708</v>
      </c>
      <c r="M21" s="66">
        <f t="shared" ref="M21:M22" si="25">ROUND((L21*0.07)*0.6,0)</f>
        <v>9690</v>
      </c>
      <c r="N21" s="66">
        <f t="shared" ref="N21:N22" si="26">ROUND((L21*0.026),0)</f>
        <v>5998</v>
      </c>
    </row>
    <row r="22" spans="1:14" ht="38.25" x14ac:dyDescent="0.2">
      <c r="A22" s="98">
        <v>12</v>
      </c>
      <c r="B22" s="97" t="s">
        <v>113</v>
      </c>
      <c r="C22" s="55" t="s">
        <v>59</v>
      </c>
      <c r="D22" s="84">
        <v>229.2</v>
      </c>
      <c r="E22" s="56">
        <v>1</v>
      </c>
      <c r="F22" s="56">
        <v>1.3220000000000001</v>
      </c>
      <c r="G22" s="57">
        <f t="shared" si="5"/>
        <v>303</v>
      </c>
      <c r="H22" s="58">
        <f>ROUND(((0.8*G22*1.09*$H$37*1000*6.49)-(25*10000+1*110500)),0)</f>
        <v>151522</v>
      </c>
      <c r="I22" s="58">
        <f t="shared" si="21"/>
        <v>20789</v>
      </c>
      <c r="J22" s="58">
        <f t="shared" si="22"/>
        <v>0</v>
      </c>
      <c r="K22" s="58">
        <f t="shared" si="23"/>
        <v>164415</v>
      </c>
      <c r="L22" s="70">
        <f t="shared" si="24"/>
        <v>336726</v>
      </c>
      <c r="M22" s="66">
        <f t="shared" si="25"/>
        <v>14142</v>
      </c>
      <c r="N22" s="66">
        <f t="shared" si="26"/>
        <v>8755</v>
      </c>
    </row>
    <row r="23" spans="1:14" ht="38.25" x14ac:dyDescent="0.2">
      <c r="A23" s="98">
        <v>13</v>
      </c>
      <c r="B23" s="97" t="s">
        <v>112</v>
      </c>
      <c r="C23" s="55" t="s">
        <v>59</v>
      </c>
      <c r="D23" s="84">
        <v>229.2</v>
      </c>
      <c r="E23" s="56">
        <v>4.2</v>
      </c>
      <c r="F23" s="56">
        <v>1.3220000000000001</v>
      </c>
      <c r="G23" s="57">
        <f t="shared" si="5"/>
        <v>1272.6099999999999</v>
      </c>
      <c r="H23" s="58">
        <f>ROUND(((0.8*G23*1.09*$H$37*1000*6.49)-(53*10000+4.2*110500)),0)</f>
        <v>1156410</v>
      </c>
      <c r="I23" s="58">
        <f t="shared" ref="I23" si="27">ROUND((0.04*G23*1.09*$H$37*1000*5.27),0)</f>
        <v>87313</v>
      </c>
      <c r="J23" s="58">
        <f t="shared" ref="J23" si="28">ROUND((0*G23*1.09*$H$37*1000*27.94),0)</f>
        <v>0</v>
      </c>
      <c r="K23" s="58">
        <f t="shared" ref="K23" si="29">ROUND((0.16*G23*1.09*$H$37*1000*10.42),0)</f>
        <v>690549</v>
      </c>
      <c r="L23" s="70">
        <f t="shared" ref="L23:L25" si="30">SUM(H23:K23)</f>
        <v>1934272</v>
      </c>
      <c r="M23" s="66">
        <f t="shared" ref="M23:M25" si="31">ROUND((L23*0.07)*0.6,0)</f>
        <v>81239</v>
      </c>
      <c r="N23" s="66">
        <f t="shared" ref="N23:N25" si="32">ROUND((L23*0.026),0)</f>
        <v>50291</v>
      </c>
    </row>
    <row r="24" spans="1:14" ht="25.5" x14ac:dyDescent="0.2">
      <c r="A24" s="98">
        <v>14</v>
      </c>
      <c r="B24" s="97" t="s">
        <v>114</v>
      </c>
      <c r="C24" s="55" t="s">
        <v>82</v>
      </c>
      <c r="D24" s="84">
        <v>204.7</v>
      </c>
      <c r="E24" s="56">
        <v>1</v>
      </c>
      <c r="F24" s="56">
        <f t="shared" ref="F24:F25" si="33">ROUND(((1.5+2.5+7.5+5+1.5)/100+1)*1.09,3)</f>
        <v>1.286</v>
      </c>
      <c r="G24" s="57">
        <f t="shared" si="5"/>
        <v>263.24</v>
      </c>
      <c r="H24" s="58">
        <f>ROUND((0.455*G24*1.09*$H$37*1000*10.14),0)</f>
        <v>395287</v>
      </c>
      <c r="I24" s="58">
        <f>ROUND((0.3*G24*1.09*$H$37*1000*5.27),0)*0</f>
        <v>0</v>
      </c>
      <c r="J24" s="58">
        <f>ROUND((0.025*G24*1.09*$H$37*1000*27.94),0)</f>
        <v>59845</v>
      </c>
      <c r="K24" s="58">
        <f>ROUND((0.22*G24*1.09*$H$37*1000*10.42),0)</f>
        <v>196406</v>
      </c>
      <c r="L24" s="70">
        <f t="shared" si="30"/>
        <v>651538</v>
      </c>
      <c r="M24" s="66">
        <f t="shared" si="31"/>
        <v>27365</v>
      </c>
      <c r="N24" s="66">
        <f t="shared" si="32"/>
        <v>16940</v>
      </c>
    </row>
    <row r="25" spans="1:14" ht="25.5" x14ac:dyDescent="0.2">
      <c r="A25" s="98">
        <v>15</v>
      </c>
      <c r="B25" s="97" t="s">
        <v>115</v>
      </c>
      <c r="C25" s="55" t="s">
        <v>82</v>
      </c>
      <c r="D25" s="84">
        <v>154</v>
      </c>
      <c r="E25" s="56">
        <v>1</v>
      </c>
      <c r="F25" s="56">
        <f t="shared" si="33"/>
        <v>1.286</v>
      </c>
      <c r="G25" s="57">
        <f t="shared" si="5"/>
        <v>198.04</v>
      </c>
      <c r="H25" s="58">
        <f>ROUND((0.455*G25*1.09*$H$37*1000*10.14),0)</f>
        <v>297381</v>
      </c>
      <c r="I25" s="58">
        <f>ROUND((0.3*G25*1.09*$H$37*1000*5.27),0)*0</f>
        <v>0</v>
      </c>
      <c r="J25" s="58">
        <f>ROUND((0.025*G25*1.09*$H$37*1000*27.94),0)</f>
        <v>45023</v>
      </c>
      <c r="K25" s="58">
        <f>ROUND((0.22*G25*1.09*$H$37*1000*10.42),0)</f>
        <v>147759</v>
      </c>
      <c r="L25" s="70">
        <f t="shared" si="30"/>
        <v>490163</v>
      </c>
      <c r="M25" s="66">
        <f t="shared" si="31"/>
        <v>20587</v>
      </c>
      <c r="N25" s="66">
        <f t="shared" si="32"/>
        <v>12744</v>
      </c>
    </row>
    <row r="26" spans="1:14" ht="25.5" x14ac:dyDescent="0.2">
      <c r="A26" s="98">
        <v>16</v>
      </c>
      <c r="B26" s="97" t="s">
        <v>95</v>
      </c>
      <c r="C26" s="55" t="s">
        <v>82</v>
      </c>
      <c r="D26" s="84">
        <v>154</v>
      </c>
      <c r="E26" s="56">
        <v>1</v>
      </c>
      <c r="F26" s="56">
        <f t="shared" ref="F26" si="34">ROUND(((1.5+2.5+7.5+5+1.5)/100+1)*1.09,3)</f>
        <v>1.286</v>
      </c>
      <c r="G26" s="57">
        <f t="shared" si="5"/>
        <v>198.04</v>
      </c>
      <c r="H26" s="58">
        <f>ROUND((0.455*G26*1.09*$H$37*1000*10.14),0)</f>
        <v>297381</v>
      </c>
      <c r="I26" s="58">
        <f>ROUND((0.3*G26*1.09*$H$37*1000*5.27),0)*0</f>
        <v>0</v>
      </c>
      <c r="J26" s="58">
        <f>ROUND((0.025*G26*1.09*$H$37*1000*27.94),0)</f>
        <v>45023</v>
      </c>
      <c r="K26" s="58">
        <f>ROUND((0.22*G26*1.09*$H$37*1000*10.42),0)</f>
        <v>147759</v>
      </c>
      <c r="L26" s="70">
        <f t="shared" ref="L26:L31" si="35">SUM(H26:K26)</f>
        <v>490163</v>
      </c>
      <c r="M26" s="66">
        <f t="shared" ref="M26:M31" si="36">ROUND((L26*0.07)*0.6,0)</f>
        <v>20587</v>
      </c>
      <c r="N26" s="66">
        <f t="shared" ref="N26:N31" si="37">ROUND((L26*0.026),0)</f>
        <v>12744</v>
      </c>
    </row>
    <row r="27" spans="1:14" ht="38.25" x14ac:dyDescent="0.2">
      <c r="A27" s="98">
        <v>17</v>
      </c>
      <c r="B27" s="97" t="s">
        <v>116</v>
      </c>
      <c r="C27" s="55" t="s">
        <v>59</v>
      </c>
      <c r="D27" s="84">
        <v>229.2</v>
      </c>
      <c r="E27" s="56">
        <v>1.2</v>
      </c>
      <c r="F27" s="56">
        <f t="shared" si="17"/>
        <v>1.3220000000000001</v>
      </c>
      <c r="G27" s="57">
        <f t="shared" si="5"/>
        <v>363.6</v>
      </c>
      <c r="H27" s="58">
        <f>ROUND(((0.8*G27*1.09*$H$37*1000*6.49)-(31*10000+1.2*110500)),0)</f>
        <v>171826</v>
      </c>
      <c r="I27" s="58">
        <f>ROUND((0.04*G27*1.09*$H$37*1000*5.27),0)</f>
        <v>24946</v>
      </c>
      <c r="J27" s="58">
        <f>ROUND((0*G27*1.09*$H$37*1000*27.94),0)</f>
        <v>0</v>
      </c>
      <c r="K27" s="58">
        <f>ROUND((0.16*G27*1.09*$H$37*1000*10.42),0)</f>
        <v>197298</v>
      </c>
      <c r="L27" s="70">
        <f t="shared" si="35"/>
        <v>394070</v>
      </c>
      <c r="M27" s="66">
        <f t="shared" si="36"/>
        <v>16551</v>
      </c>
      <c r="N27" s="66">
        <f t="shared" si="37"/>
        <v>10246</v>
      </c>
    </row>
    <row r="28" spans="1:14" ht="38.25" x14ac:dyDescent="0.2">
      <c r="A28" s="98">
        <v>18</v>
      </c>
      <c r="B28" s="97" t="s">
        <v>117</v>
      </c>
      <c r="C28" s="55" t="s">
        <v>59</v>
      </c>
      <c r="D28" s="84">
        <v>229.2</v>
      </c>
      <c r="E28" s="56">
        <v>0.3</v>
      </c>
      <c r="F28" s="56">
        <f t="shared" si="17"/>
        <v>1.3220000000000001</v>
      </c>
      <c r="G28" s="57">
        <f t="shared" si="5"/>
        <v>90.9</v>
      </c>
      <c r="H28" s="58">
        <f>ROUND(((0.8*G28*1.09*$H$37*1000*6.49)-(7*10000+0.3*110500)),0)</f>
        <v>50457</v>
      </c>
      <c r="I28" s="58">
        <f t="shared" ref="I28" si="38">ROUND((0.04*G28*1.09*$H$37*1000*5.27),0)</f>
        <v>6237</v>
      </c>
      <c r="J28" s="58">
        <f t="shared" ref="J28" si="39">ROUND((0*G28*1.09*$H$37*1000*27.94),0)</f>
        <v>0</v>
      </c>
      <c r="K28" s="58">
        <f t="shared" ref="K28" si="40">ROUND((0.16*G28*1.09*$H$37*1000*10.42),0)</f>
        <v>49325</v>
      </c>
      <c r="L28" s="70">
        <f t="shared" si="35"/>
        <v>106019</v>
      </c>
      <c r="M28" s="66">
        <f t="shared" si="36"/>
        <v>4453</v>
      </c>
      <c r="N28" s="66">
        <f t="shared" si="37"/>
        <v>2756</v>
      </c>
    </row>
    <row r="29" spans="1:14" ht="25.5" x14ac:dyDescent="0.2">
      <c r="A29" s="98">
        <v>19</v>
      </c>
      <c r="B29" s="97" t="s">
        <v>118</v>
      </c>
      <c r="C29" s="55" t="s">
        <v>82</v>
      </c>
      <c r="D29" s="84">
        <v>204.7</v>
      </c>
      <c r="E29" s="56">
        <v>1</v>
      </c>
      <c r="F29" s="56">
        <f t="shared" ref="F29:F34" si="41">ROUND(((1.5+2.5+7.5+5+1.5)/100+1)*1.09,3)</f>
        <v>1.286</v>
      </c>
      <c r="G29" s="57">
        <f t="shared" si="5"/>
        <v>263.24</v>
      </c>
      <c r="H29" s="58">
        <f>ROUND((0.455*G29*1.09*$H$37*1000*10.14),0)</f>
        <v>395287</v>
      </c>
      <c r="I29" s="58">
        <f>ROUND((0.3*G29*1.09*$H$37*1000*5.27),0)*0</f>
        <v>0</v>
      </c>
      <c r="J29" s="58">
        <f>ROUND((0.025*G29*1.09*$H$37*1000*27.94),0)</f>
        <v>59845</v>
      </c>
      <c r="K29" s="58">
        <f>ROUND((0.22*G29*1.09*$H$37*1000*10.42),0)</f>
        <v>196406</v>
      </c>
      <c r="L29" s="70">
        <f t="shared" si="35"/>
        <v>651538</v>
      </c>
      <c r="M29" s="66">
        <f t="shared" si="36"/>
        <v>27365</v>
      </c>
      <c r="N29" s="66">
        <f t="shared" si="37"/>
        <v>16940</v>
      </c>
    </row>
    <row r="30" spans="1:14" ht="25.5" x14ac:dyDescent="0.2">
      <c r="A30" s="98">
        <v>20</v>
      </c>
      <c r="B30" s="97" t="s">
        <v>99</v>
      </c>
      <c r="C30" s="55" t="s">
        <v>82</v>
      </c>
      <c r="D30" s="84">
        <v>154</v>
      </c>
      <c r="E30" s="56">
        <v>1</v>
      </c>
      <c r="F30" s="56">
        <f t="shared" si="41"/>
        <v>1.286</v>
      </c>
      <c r="G30" s="57">
        <f t="shared" si="5"/>
        <v>198.04</v>
      </c>
      <c r="H30" s="58">
        <f t="shared" ref="H30:H33" si="42">ROUND((0.455*G30*1.09*$H$37*1000*10.14),0)</f>
        <v>297381</v>
      </c>
      <c r="I30" s="58">
        <f t="shared" ref="I30:I34" si="43">ROUND((0.3*G30*1.09*$H$37*1000*5.27),0)*0</f>
        <v>0</v>
      </c>
      <c r="J30" s="58">
        <f t="shared" ref="J30:J34" si="44">ROUND((0.025*G30*1.09*$H$37*1000*27.94),0)</f>
        <v>45023</v>
      </c>
      <c r="K30" s="58">
        <f t="shared" ref="K30:K34" si="45">ROUND((0.22*G30*1.09*$H$37*1000*10.42),0)</f>
        <v>147759</v>
      </c>
      <c r="L30" s="70">
        <f t="shared" si="35"/>
        <v>490163</v>
      </c>
      <c r="M30" s="66">
        <f t="shared" si="36"/>
        <v>20587</v>
      </c>
      <c r="N30" s="66">
        <f t="shared" si="37"/>
        <v>12744</v>
      </c>
    </row>
    <row r="31" spans="1:14" ht="25.5" x14ac:dyDescent="0.2">
      <c r="A31" s="98">
        <v>21</v>
      </c>
      <c r="B31" s="97" t="s">
        <v>119</v>
      </c>
      <c r="C31" s="55" t="s">
        <v>82</v>
      </c>
      <c r="D31" s="84">
        <v>154</v>
      </c>
      <c r="E31" s="56">
        <v>1</v>
      </c>
      <c r="F31" s="56">
        <f t="shared" si="41"/>
        <v>1.286</v>
      </c>
      <c r="G31" s="57">
        <f t="shared" si="5"/>
        <v>198.04</v>
      </c>
      <c r="H31" s="58">
        <f t="shared" si="42"/>
        <v>297381</v>
      </c>
      <c r="I31" s="58">
        <f t="shared" si="43"/>
        <v>0</v>
      </c>
      <c r="J31" s="58">
        <f t="shared" si="44"/>
        <v>45023</v>
      </c>
      <c r="K31" s="58">
        <f t="shared" si="45"/>
        <v>147759</v>
      </c>
      <c r="L31" s="70">
        <f t="shared" si="35"/>
        <v>490163</v>
      </c>
      <c r="M31" s="66">
        <f t="shared" si="36"/>
        <v>20587</v>
      </c>
      <c r="N31" s="66">
        <f t="shared" si="37"/>
        <v>12744</v>
      </c>
    </row>
    <row r="32" spans="1:14" ht="25.5" x14ac:dyDescent="0.2">
      <c r="A32" s="98">
        <v>22</v>
      </c>
      <c r="B32" s="97" t="s">
        <v>120</v>
      </c>
      <c r="C32" s="55" t="s">
        <v>82</v>
      </c>
      <c r="D32" s="84">
        <v>204.7</v>
      </c>
      <c r="E32" s="56">
        <v>1</v>
      </c>
      <c r="F32" s="56">
        <f t="shared" si="41"/>
        <v>1.286</v>
      </c>
      <c r="G32" s="57">
        <f t="shared" si="5"/>
        <v>263.24</v>
      </c>
      <c r="H32" s="58">
        <f t="shared" si="42"/>
        <v>395287</v>
      </c>
      <c r="I32" s="58">
        <f t="shared" si="43"/>
        <v>0</v>
      </c>
      <c r="J32" s="58">
        <f t="shared" si="44"/>
        <v>59845</v>
      </c>
      <c r="K32" s="58">
        <f t="shared" si="45"/>
        <v>196406</v>
      </c>
      <c r="L32" s="70">
        <f t="shared" ref="L32:L34" si="46">SUM(H32:K32)</f>
        <v>651538</v>
      </c>
      <c r="M32" s="66">
        <f t="shared" ref="M32:M34" si="47">ROUND((L32*0.07)*0.6,0)</f>
        <v>27365</v>
      </c>
      <c r="N32" s="66">
        <f t="shared" ref="N32:N34" si="48">ROUND((L32*0.026),0)</f>
        <v>16940</v>
      </c>
    </row>
    <row r="33" spans="1:14" ht="25.5" x14ac:dyDescent="0.2">
      <c r="A33" s="98">
        <v>23</v>
      </c>
      <c r="B33" s="97" t="s">
        <v>121</v>
      </c>
      <c r="C33" s="55" t="s">
        <v>82</v>
      </c>
      <c r="D33" s="84">
        <v>204.7</v>
      </c>
      <c r="E33" s="56">
        <v>1</v>
      </c>
      <c r="F33" s="56">
        <f t="shared" si="41"/>
        <v>1.286</v>
      </c>
      <c r="G33" s="57">
        <f t="shared" si="5"/>
        <v>263.24</v>
      </c>
      <c r="H33" s="58">
        <f t="shared" si="42"/>
        <v>395287</v>
      </c>
      <c r="I33" s="58">
        <f t="shared" si="43"/>
        <v>0</v>
      </c>
      <c r="J33" s="58">
        <f t="shared" si="44"/>
        <v>59845</v>
      </c>
      <c r="K33" s="58">
        <f t="shared" si="45"/>
        <v>196406</v>
      </c>
      <c r="L33" s="70">
        <f t="shared" si="46"/>
        <v>651538</v>
      </c>
      <c r="M33" s="66">
        <f t="shared" si="47"/>
        <v>27365</v>
      </c>
      <c r="N33" s="66">
        <f t="shared" si="48"/>
        <v>16940</v>
      </c>
    </row>
    <row r="34" spans="1:14" ht="25.5" x14ac:dyDescent="0.2">
      <c r="A34" s="98">
        <v>24</v>
      </c>
      <c r="B34" s="97" t="s">
        <v>122</v>
      </c>
      <c r="C34" s="55" t="s">
        <v>82</v>
      </c>
      <c r="D34" s="84">
        <v>204.7</v>
      </c>
      <c r="E34" s="56">
        <v>1</v>
      </c>
      <c r="F34" s="56">
        <f t="shared" si="41"/>
        <v>1.286</v>
      </c>
      <c r="G34" s="57">
        <f t="shared" si="5"/>
        <v>263.24</v>
      </c>
      <c r="H34" s="58">
        <f>ROUND((0.455*G34*1.09*$H$37*1000*10.14),0)</f>
        <v>395287</v>
      </c>
      <c r="I34" s="58">
        <f t="shared" si="43"/>
        <v>0</v>
      </c>
      <c r="J34" s="58">
        <f t="shared" si="44"/>
        <v>59845</v>
      </c>
      <c r="K34" s="58">
        <f t="shared" si="45"/>
        <v>196406</v>
      </c>
      <c r="L34" s="70">
        <f t="shared" si="46"/>
        <v>651538</v>
      </c>
      <c r="M34" s="66">
        <f t="shared" si="47"/>
        <v>27365</v>
      </c>
      <c r="N34" s="66">
        <f t="shared" si="48"/>
        <v>16940</v>
      </c>
    </row>
    <row r="35" spans="1:14" x14ac:dyDescent="0.2">
      <c r="A35" s="138" t="s">
        <v>38</v>
      </c>
      <c r="B35" s="138"/>
      <c r="C35" s="138"/>
      <c r="D35" s="138"/>
      <c r="E35" s="138"/>
      <c r="F35" s="138"/>
      <c r="G35" s="138"/>
      <c r="H35" s="65">
        <f>SUM(H11:H34)</f>
        <v>6921458</v>
      </c>
      <c r="I35" s="65">
        <f t="shared" ref="I35:K35" si="49">SUM(I11:I34)</f>
        <v>176706</v>
      </c>
      <c r="J35" s="65">
        <f t="shared" si="49"/>
        <v>776441</v>
      </c>
      <c r="K35" s="65">
        <f t="shared" si="49"/>
        <v>3945728</v>
      </c>
      <c r="L35" s="71">
        <f>SUM(H35:K35)</f>
        <v>11820333</v>
      </c>
      <c r="M35" s="65">
        <f>SUM(M11:M34)</f>
        <v>496457</v>
      </c>
      <c r="N35" s="65">
        <f>SUM(N11:N34)</f>
        <v>307325</v>
      </c>
    </row>
    <row r="36" spans="1:14" s="45" customFormat="1" ht="7.5" customHeight="1" x14ac:dyDescent="0.2">
      <c r="A36" s="28"/>
      <c r="B36" s="28"/>
      <c r="C36" s="28"/>
      <c r="D36" s="28"/>
      <c r="E36" s="53"/>
      <c r="F36" s="28"/>
      <c r="G36" s="28"/>
      <c r="H36" s="27"/>
      <c r="I36" s="27"/>
      <c r="J36" s="19"/>
      <c r="K36" s="27"/>
      <c r="L36" s="27"/>
      <c r="M36" s="19"/>
      <c r="N36" s="19"/>
    </row>
    <row r="37" spans="1:14" ht="12.75" customHeight="1" x14ac:dyDescent="0.2">
      <c r="A37" s="137" t="s">
        <v>86</v>
      </c>
      <c r="B37" s="137"/>
      <c r="C37" s="137"/>
      <c r="D37" s="137"/>
      <c r="E37" s="137"/>
      <c r="F37" s="137"/>
      <c r="G37" s="137"/>
      <c r="H37" s="43">
        <v>0.29859660500000001</v>
      </c>
      <c r="I37" s="43"/>
      <c r="J37" s="83"/>
      <c r="K37" s="43"/>
      <c r="L37" s="44"/>
      <c r="M37" s="83"/>
      <c r="N37" s="45"/>
    </row>
    <row r="38" spans="1:14" ht="7.5" customHeight="1" x14ac:dyDescent="0.2">
      <c r="A38" s="28"/>
      <c r="B38" s="28"/>
      <c r="C38" s="28"/>
      <c r="D38" s="28"/>
      <c r="E38" s="53"/>
      <c r="F38" s="28"/>
      <c r="G38" s="28"/>
      <c r="H38" s="27"/>
      <c r="I38" s="47"/>
      <c r="J38" s="27"/>
      <c r="K38" s="27"/>
      <c r="L38" s="27"/>
      <c r="M38" s="27"/>
    </row>
    <row r="39" spans="1:14" x14ac:dyDescent="0.2">
      <c r="A39" s="22"/>
      <c r="B39" s="22" t="s">
        <v>37</v>
      </c>
      <c r="C39" s="22"/>
      <c r="D39" s="22"/>
      <c r="E39" s="22"/>
      <c r="F39" s="22"/>
      <c r="G39" s="22"/>
      <c r="H39" s="22"/>
      <c r="I39" s="22"/>
      <c r="J39" s="22"/>
      <c r="K39" s="27"/>
      <c r="L39" s="22"/>
      <c r="M39" s="22"/>
    </row>
    <row r="40" spans="1:14" ht="27.75" customHeight="1" x14ac:dyDescent="0.2">
      <c r="A40" s="22"/>
      <c r="B40" s="136" t="s">
        <v>36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35"/>
    </row>
    <row r="41" spans="1:14" ht="7.5" customHeight="1" x14ac:dyDescent="0.2">
      <c r="A41" s="20"/>
      <c r="B41" s="20"/>
      <c r="C41" s="20"/>
      <c r="D41" s="20"/>
      <c r="E41" s="20"/>
      <c r="F41" s="20" t="s">
        <v>35</v>
      </c>
      <c r="G41" s="20"/>
      <c r="H41" s="20"/>
      <c r="I41" s="20"/>
      <c r="J41" s="20"/>
      <c r="K41" s="20"/>
      <c r="L41" s="20"/>
      <c r="M41" s="20"/>
    </row>
    <row r="42" spans="1:14" x14ac:dyDescent="0.2">
      <c r="A42" s="22"/>
      <c r="B42" s="22" t="s">
        <v>34</v>
      </c>
      <c r="C42" s="22"/>
      <c r="D42" s="22"/>
      <c r="E42" s="22"/>
      <c r="F42" s="22"/>
      <c r="G42" s="22"/>
      <c r="H42" s="22"/>
      <c r="I42" s="46"/>
      <c r="J42" s="22"/>
      <c r="K42" s="22"/>
      <c r="L42" s="22"/>
      <c r="M42" s="22"/>
    </row>
    <row r="43" spans="1:14" ht="3" customHeight="1" x14ac:dyDescent="0.2">
      <c r="A43" s="21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99"/>
    </row>
    <row r="44" spans="1:14" x14ac:dyDescent="0.2">
      <c r="A44" s="26" t="s">
        <v>33</v>
      </c>
      <c r="B44" s="25" t="s">
        <v>32</v>
      </c>
      <c r="C44" s="22"/>
      <c r="D44" s="22" t="s">
        <v>69</v>
      </c>
      <c r="E44" s="22"/>
      <c r="F44" s="22"/>
      <c r="G44" s="22"/>
      <c r="H44" s="22" t="s">
        <v>83</v>
      </c>
      <c r="I44" s="22"/>
      <c r="J44" s="22"/>
      <c r="K44" s="22"/>
      <c r="L44" s="22"/>
      <c r="M44" s="100"/>
    </row>
    <row r="45" spans="1:14" x14ac:dyDescent="0.2">
      <c r="A45" s="24" t="s">
        <v>31</v>
      </c>
      <c r="B45" s="22" t="s">
        <v>30</v>
      </c>
      <c r="C45" s="22"/>
      <c r="D45" s="22"/>
      <c r="E45" s="22"/>
      <c r="F45" s="22"/>
      <c r="G45" s="22"/>
      <c r="H45" s="50"/>
      <c r="I45" s="59"/>
      <c r="J45" s="60"/>
      <c r="K45" s="60"/>
      <c r="L45" s="60"/>
      <c r="M45" s="60"/>
    </row>
    <row r="46" spans="1:14" x14ac:dyDescent="0.2">
      <c r="A46" s="23" t="s">
        <v>24</v>
      </c>
      <c r="B46" s="22" t="s">
        <v>29</v>
      </c>
      <c r="C46" s="22"/>
      <c r="D46" s="22"/>
      <c r="E46" s="22"/>
      <c r="F46" s="22"/>
      <c r="G46" s="22"/>
      <c r="H46" s="51"/>
      <c r="I46" s="60"/>
      <c r="J46" s="60"/>
      <c r="K46" s="60"/>
      <c r="L46" s="60"/>
      <c r="M46" s="60"/>
    </row>
    <row r="47" spans="1:14" x14ac:dyDescent="0.2">
      <c r="A47" s="23" t="s">
        <v>24</v>
      </c>
      <c r="B47" s="22" t="s">
        <v>28</v>
      </c>
      <c r="C47" s="22"/>
      <c r="D47" s="22"/>
      <c r="E47" s="22"/>
      <c r="F47" s="22"/>
      <c r="G47" s="22"/>
      <c r="H47" s="52"/>
      <c r="I47" s="60"/>
      <c r="J47" s="60"/>
      <c r="K47" s="60"/>
      <c r="L47" s="60"/>
      <c r="M47" s="60"/>
    </row>
    <row r="48" spans="1:14" x14ac:dyDescent="0.2">
      <c r="A48" s="23" t="s">
        <v>24</v>
      </c>
      <c r="B48" s="22" t="s">
        <v>27</v>
      </c>
      <c r="C48" s="22"/>
      <c r="D48" s="22"/>
      <c r="E48" s="22"/>
      <c r="F48" s="22"/>
      <c r="G48" s="22"/>
      <c r="H48" s="52"/>
      <c r="I48" s="60"/>
      <c r="J48" s="60"/>
      <c r="K48" s="60"/>
      <c r="L48" s="60"/>
      <c r="M48" s="60"/>
    </row>
    <row r="49" spans="1:15" hidden="1" x14ac:dyDescent="0.2">
      <c r="A49" s="23" t="s">
        <v>24</v>
      </c>
      <c r="B49" s="22" t="s">
        <v>26</v>
      </c>
      <c r="C49" s="22"/>
      <c r="D49" s="22"/>
      <c r="E49" s="22"/>
      <c r="F49" s="22"/>
      <c r="G49" s="22"/>
      <c r="H49" s="52"/>
      <c r="I49" s="81"/>
      <c r="J49" s="60"/>
      <c r="K49" s="60"/>
      <c r="L49" s="60"/>
      <c r="M49" s="60"/>
    </row>
    <row r="50" spans="1:15" x14ac:dyDescent="0.2">
      <c r="A50" s="23" t="s">
        <v>24</v>
      </c>
      <c r="B50" s="22" t="s">
        <v>25</v>
      </c>
      <c r="C50" s="22"/>
      <c r="D50" s="22"/>
      <c r="E50" s="22"/>
      <c r="F50" s="22"/>
      <c r="G50" s="22"/>
      <c r="H50" s="52"/>
      <c r="I50" s="81"/>
      <c r="J50" s="60"/>
      <c r="K50" s="60"/>
      <c r="L50" s="60"/>
      <c r="M50" s="60"/>
    </row>
    <row r="51" spans="1:15" x14ac:dyDescent="0.2">
      <c r="A51" s="23" t="s">
        <v>24</v>
      </c>
      <c r="B51" s="22" t="s">
        <v>68</v>
      </c>
      <c r="C51" s="22"/>
      <c r="D51" s="22"/>
      <c r="E51" s="22"/>
      <c r="F51" s="22"/>
      <c r="G51" s="22"/>
      <c r="H51" s="52"/>
      <c r="I51" s="81"/>
      <c r="J51" s="81"/>
      <c r="K51" s="60"/>
      <c r="L51" s="60"/>
      <c r="M51" s="60"/>
    </row>
    <row r="52" spans="1:15" x14ac:dyDescent="0.2">
      <c r="A52" s="23" t="s">
        <v>64</v>
      </c>
      <c r="B52" s="22" t="s">
        <v>65</v>
      </c>
      <c r="C52" s="22"/>
      <c r="D52" s="22"/>
      <c r="E52" s="22"/>
      <c r="F52" s="22"/>
      <c r="G52" s="22"/>
      <c r="H52" s="52"/>
      <c r="I52" s="60"/>
      <c r="J52" s="60"/>
      <c r="K52" s="60"/>
      <c r="L52" s="60"/>
      <c r="M52" s="60"/>
    </row>
    <row r="53" spans="1:15" x14ac:dyDescent="0.2">
      <c r="A53" s="21" t="s">
        <v>24</v>
      </c>
      <c r="B53" s="20" t="s">
        <v>84</v>
      </c>
      <c r="C53" s="20"/>
      <c r="D53" s="20"/>
      <c r="E53" s="20"/>
      <c r="F53" s="20"/>
      <c r="G53" s="20"/>
      <c r="H53" s="52"/>
      <c r="I53" s="60"/>
      <c r="J53" s="60"/>
      <c r="K53" s="60"/>
      <c r="L53" s="60"/>
      <c r="M53" s="60"/>
    </row>
    <row r="54" spans="1:15" hidden="1" x14ac:dyDescent="0.2">
      <c r="A54" s="21" t="s">
        <v>66</v>
      </c>
      <c r="B54" s="20" t="s">
        <v>67</v>
      </c>
      <c r="C54" s="20"/>
      <c r="D54" s="20"/>
      <c r="E54" s="20"/>
      <c r="F54" s="20"/>
      <c r="G54" s="20"/>
      <c r="H54" s="52"/>
      <c r="I54" s="60"/>
      <c r="J54" s="60"/>
      <c r="K54" s="60"/>
      <c r="L54" s="60"/>
      <c r="M54" s="60"/>
    </row>
    <row r="55" spans="1:15" hidden="1" x14ac:dyDescent="0.2">
      <c r="A55" s="68" t="s">
        <v>24</v>
      </c>
      <c r="B55" s="69" t="s">
        <v>60</v>
      </c>
      <c r="I55" s="60"/>
      <c r="J55" s="60"/>
      <c r="K55" s="60"/>
      <c r="L55" s="60"/>
      <c r="M55" s="60"/>
    </row>
    <row r="56" spans="1:15" hidden="1" x14ac:dyDescent="0.2">
      <c r="A56" s="68" t="s">
        <v>24</v>
      </c>
      <c r="B56" s="69" t="s">
        <v>61</v>
      </c>
      <c r="C56" s="60"/>
      <c r="D56" s="60"/>
      <c r="E56" s="60"/>
      <c r="F56" s="60"/>
      <c r="I56" s="61"/>
      <c r="J56" s="62"/>
      <c r="K56" s="62"/>
      <c r="L56" s="62"/>
      <c r="M56" s="62"/>
    </row>
    <row r="57" spans="1:15" hidden="1" x14ac:dyDescent="0.2">
      <c r="A57" s="68" t="s">
        <v>24</v>
      </c>
      <c r="B57" s="69" t="s">
        <v>62</v>
      </c>
      <c r="C57" s="60"/>
      <c r="D57" s="60"/>
      <c r="E57" s="60"/>
      <c r="F57" s="60"/>
      <c r="I57" s="61"/>
      <c r="J57" s="62"/>
      <c r="K57" s="62"/>
      <c r="L57" s="62"/>
      <c r="M57" s="62"/>
    </row>
    <row r="58" spans="1:15" hidden="1" x14ac:dyDescent="0.2">
      <c r="A58" s="68" t="s">
        <v>24</v>
      </c>
      <c r="B58" s="69" t="s">
        <v>63</v>
      </c>
      <c r="C58" s="60"/>
      <c r="D58" s="60"/>
      <c r="E58" s="60"/>
      <c r="F58" s="60"/>
    </row>
    <row r="59" spans="1:15" ht="9.75" customHeight="1" x14ac:dyDescent="0.2">
      <c r="A59" s="21" t="s">
        <v>24</v>
      </c>
      <c r="B59" s="20" t="s">
        <v>85</v>
      </c>
      <c r="C59" s="20"/>
      <c r="D59" s="20"/>
      <c r="E59" s="20"/>
      <c r="F59" s="20"/>
      <c r="G59" s="20"/>
      <c r="H59" s="52"/>
      <c r="I59" s="60"/>
      <c r="J59" s="60"/>
      <c r="K59" s="60"/>
      <c r="L59" s="60"/>
      <c r="M59" s="60"/>
    </row>
    <row r="60" spans="1:15" x14ac:dyDescent="0.2">
      <c r="B60" s="60"/>
      <c r="C60" s="60"/>
      <c r="D60" s="60"/>
      <c r="E60" s="60"/>
      <c r="F60" s="60"/>
    </row>
    <row r="61" spans="1:15" s="87" customFormat="1" ht="15" x14ac:dyDescent="0.25">
      <c r="A61" s="85"/>
      <c r="B61" s="86" t="s">
        <v>87</v>
      </c>
      <c r="D61" s="88"/>
      <c r="E61" s="89"/>
      <c r="F61" s="90"/>
      <c r="K61" s="114" t="s">
        <v>88</v>
      </c>
      <c r="L61" s="114"/>
      <c r="M61" s="91"/>
      <c r="N61" s="85"/>
      <c r="O61" s="85"/>
    </row>
    <row r="62" spans="1:15" s="87" customFormat="1" ht="9.75" customHeight="1" x14ac:dyDescent="0.25">
      <c r="A62" s="92"/>
      <c r="B62" s="93"/>
      <c r="D62" s="93"/>
      <c r="E62" s="93"/>
      <c r="F62" s="90"/>
      <c r="K62" s="90"/>
      <c r="L62" s="93"/>
      <c r="M62" s="93"/>
      <c r="N62" s="93"/>
      <c r="O62" s="93"/>
    </row>
    <row r="63" spans="1:15" s="87" customFormat="1" ht="18.75" customHeight="1" x14ac:dyDescent="0.25">
      <c r="A63" s="85"/>
      <c r="B63" s="86" t="s">
        <v>89</v>
      </c>
      <c r="D63" s="94"/>
      <c r="E63" s="89"/>
      <c r="F63" s="90"/>
      <c r="K63" s="115" t="s">
        <v>90</v>
      </c>
      <c r="L63" s="115"/>
      <c r="M63" s="95"/>
      <c r="N63" s="85"/>
      <c r="O63" s="85"/>
    </row>
    <row r="64" spans="1:15" s="87" customFormat="1" ht="9.75" customHeight="1" x14ac:dyDescent="0.25">
      <c r="A64" s="92"/>
      <c r="B64" s="93"/>
      <c r="D64" s="93"/>
      <c r="E64" s="93"/>
      <c r="F64" s="90"/>
      <c r="K64" s="90"/>
      <c r="L64" s="93"/>
      <c r="M64" s="93"/>
      <c r="N64" s="93"/>
      <c r="O64" s="93"/>
    </row>
    <row r="65" spans="1:15" s="87" customFormat="1" ht="15.75" customHeight="1" x14ac:dyDescent="0.25">
      <c r="A65" s="85"/>
      <c r="B65" s="86" t="s">
        <v>91</v>
      </c>
      <c r="D65" s="94"/>
      <c r="E65" s="89"/>
      <c r="F65" s="90"/>
      <c r="K65" s="115" t="s">
        <v>92</v>
      </c>
      <c r="L65" s="115"/>
      <c r="M65" s="95"/>
      <c r="N65" s="85"/>
      <c r="O65" s="85"/>
    </row>
    <row r="66" spans="1:15" s="87" customFormat="1" ht="9.75" customHeight="1" x14ac:dyDescent="0.25">
      <c r="A66" s="85"/>
      <c r="B66" s="89"/>
      <c r="D66" s="89"/>
      <c r="E66" s="89"/>
      <c r="F66" s="90"/>
      <c r="K66" s="90"/>
      <c r="L66" s="89"/>
      <c r="M66" s="85"/>
      <c r="N66" s="85"/>
      <c r="O66" s="85"/>
    </row>
    <row r="67" spans="1:15" s="87" customFormat="1" ht="15" customHeight="1" x14ac:dyDescent="0.25">
      <c r="A67" s="85"/>
      <c r="B67" s="86" t="s">
        <v>93</v>
      </c>
      <c r="D67" s="96"/>
      <c r="E67" s="89"/>
      <c r="F67" s="90"/>
      <c r="K67" s="115" t="s">
        <v>94</v>
      </c>
      <c r="L67" s="115"/>
      <c r="M67" s="95"/>
      <c r="N67" s="85"/>
      <c r="O67" s="85"/>
    </row>
  </sheetData>
  <mergeCells count="22">
    <mergeCell ref="K67:L67"/>
    <mergeCell ref="B40:L40"/>
    <mergeCell ref="A37:G37"/>
    <mergeCell ref="A35:G35"/>
    <mergeCell ref="K61:L61"/>
    <mergeCell ref="K63:L63"/>
    <mergeCell ref="K65:L65"/>
    <mergeCell ref="A1:L1"/>
    <mergeCell ref="G9:G10"/>
    <mergeCell ref="H9:K9"/>
    <mergeCell ref="L9:L10"/>
    <mergeCell ref="B9:B10"/>
    <mergeCell ref="A9:A10"/>
    <mergeCell ref="C9:C10"/>
    <mergeCell ref="B7:G7"/>
    <mergeCell ref="B5:L5"/>
    <mergeCell ref="A3:M3"/>
    <mergeCell ref="A4:M4"/>
    <mergeCell ref="M9:N9"/>
    <mergeCell ref="D9:D10"/>
    <mergeCell ref="E9:E10"/>
    <mergeCell ref="F9:F10"/>
  </mergeCells>
  <pageMargins left="0.23622047244094491" right="0.23622047244094491" top="0.74803149606299213" bottom="0.74803149606299213" header="0" footer="0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</vt:lpstr>
      <vt:lpstr>расчет 1</vt:lpstr>
      <vt:lpstr>Т!Заголовки_для_печати</vt:lpstr>
      <vt:lpstr>'расчет 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Мазнинова Екатерина Васильевна</dc:creator>
  <cp:lastModifiedBy>Чуясова Елена Геннадьевна</cp:lastModifiedBy>
  <cp:lastPrinted>2020-12-14T23:14:20Z</cp:lastPrinted>
  <dcterms:created xsi:type="dcterms:W3CDTF">2002-03-25T05:35:56Z</dcterms:created>
  <dcterms:modified xsi:type="dcterms:W3CDTF">2021-01-19T07:06:13Z</dcterms:modified>
</cp:coreProperties>
</file>