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- gavrush\___СМЕТНАЯ ДОКУМЕНТАЦИЯ\ТОРГИ\31_МИРЭК\Шкотовский\Шкотово, Смоляниново, Романовка, Верхня\"/>
    </mc:Choice>
  </mc:AlternateContent>
  <bookViews>
    <workbookView xWindow="480" yWindow="75" windowWidth="11340" windowHeight="9345"/>
  </bookViews>
  <sheets>
    <sheet name="Т" sheetId="5" r:id="rId1"/>
    <sheet name="расчет 1" sheetId="2" r:id="rId2"/>
  </sheets>
  <externalReferences>
    <externalReference r:id="rId3"/>
    <externalReference r:id="rId4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Т!$12:$12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'расчет 1'!$A$1:$N$62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H24" i="2" l="1"/>
  <c r="H27" i="2"/>
  <c r="E30" i="5" s="1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14" i="5"/>
  <c r="G28" i="2"/>
  <c r="J28" i="2" s="1"/>
  <c r="F28" i="2"/>
  <c r="H25" i="2"/>
  <c r="E28" i="5" s="1"/>
  <c r="H23" i="2"/>
  <c r="E26" i="5" s="1"/>
  <c r="F27" i="2"/>
  <c r="G27" i="2" s="1"/>
  <c r="G26" i="2"/>
  <c r="F26" i="2"/>
  <c r="F25" i="2"/>
  <c r="G25" i="2" s="1"/>
  <c r="G24" i="2"/>
  <c r="F24" i="2"/>
  <c r="G23" i="2"/>
  <c r="J23" i="2" s="1"/>
  <c r="F23" i="2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H14" i="2"/>
  <c r="E17" i="5" s="1"/>
  <c r="H15" i="2" l="1"/>
  <c r="E18" i="5" s="1"/>
  <c r="H17" i="2"/>
  <c r="E20" i="5" s="1"/>
  <c r="H19" i="2"/>
  <c r="E22" i="5" s="1"/>
  <c r="H21" i="2"/>
  <c r="E24" i="5" s="1"/>
  <c r="J26" i="2"/>
  <c r="H26" i="2"/>
  <c r="E29" i="5" s="1"/>
  <c r="H18" i="2"/>
  <c r="E21" i="5" s="1"/>
  <c r="H20" i="2"/>
  <c r="E23" i="5" s="1"/>
  <c r="H22" i="2"/>
  <c r="E25" i="5" s="1"/>
  <c r="J24" i="2"/>
  <c r="K28" i="2"/>
  <c r="H28" i="2"/>
  <c r="E31" i="5" s="1"/>
  <c r="I28" i="2"/>
  <c r="F31" i="5" s="1"/>
  <c r="K25" i="2"/>
  <c r="J25" i="2"/>
  <c r="I25" i="2"/>
  <c r="F28" i="5" s="1"/>
  <c r="I27" i="2"/>
  <c r="F30" i="5" s="1"/>
  <c r="K27" i="2"/>
  <c r="J27" i="2"/>
  <c r="K26" i="2"/>
  <c r="I26" i="2"/>
  <c r="F29" i="5" s="1"/>
  <c r="K24" i="2"/>
  <c r="E27" i="5"/>
  <c r="I24" i="2"/>
  <c r="F27" i="5" s="1"/>
  <c r="K23" i="2"/>
  <c r="I23" i="2"/>
  <c r="F26" i="5" s="1"/>
  <c r="J21" i="2"/>
  <c r="I21" i="2"/>
  <c r="F24" i="5" s="1"/>
  <c r="K21" i="2"/>
  <c r="J22" i="2"/>
  <c r="K22" i="2"/>
  <c r="I22" i="2"/>
  <c r="F25" i="5" s="1"/>
  <c r="I19" i="2"/>
  <c r="F22" i="5" s="1"/>
  <c r="K19" i="2"/>
  <c r="J19" i="2"/>
  <c r="K20" i="2"/>
  <c r="J20" i="2"/>
  <c r="I20" i="2"/>
  <c r="F23" i="5" s="1"/>
  <c r="I17" i="2"/>
  <c r="F20" i="5" s="1"/>
  <c r="K17" i="2"/>
  <c r="J17" i="2"/>
  <c r="K18" i="2"/>
  <c r="J18" i="2"/>
  <c r="I18" i="2"/>
  <c r="F21" i="5" s="1"/>
  <c r="J16" i="2"/>
  <c r="H16" i="2"/>
  <c r="E19" i="5" s="1"/>
  <c r="K16" i="2"/>
  <c r="I16" i="2"/>
  <c r="F19" i="5" s="1"/>
  <c r="L17" i="2" l="1"/>
  <c r="M17" i="2" s="1"/>
  <c r="L28" i="2"/>
  <c r="L25" i="2"/>
  <c r="N25" i="2" s="1"/>
  <c r="L26" i="2"/>
  <c r="L27" i="2"/>
  <c r="L24" i="2"/>
  <c r="L23" i="2"/>
  <c r="L21" i="2"/>
  <c r="L22" i="2"/>
  <c r="L20" i="2"/>
  <c r="N20" i="2" s="1"/>
  <c r="L19" i="2"/>
  <c r="L18" i="2"/>
  <c r="L16" i="2"/>
  <c r="N17" i="2" l="1"/>
  <c r="N28" i="2"/>
  <c r="M28" i="2"/>
  <c r="M25" i="2"/>
  <c r="M27" i="2"/>
  <c r="N27" i="2"/>
  <c r="N26" i="2"/>
  <c r="M26" i="2"/>
  <c r="N24" i="2"/>
  <c r="M24" i="2"/>
  <c r="N23" i="2"/>
  <c r="M23" i="2"/>
  <c r="N22" i="2"/>
  <c r="M22" i="2"/>
  <c r="M21" i="2"/>
  <c r="N21" i="2"/>
  <c r="M20" i="2"/>
  <c r="M19" i="2"/>
  <c r="N19" i="2"/>
  <c r="N18" i="2"/>
  <c r="M18" i="2"/>
  <c r="N16" i="2"/>
  <c r="M16" i="2"/>
  <c r="F14" i="2" l="1"/>
  <c r="G14" i="2"/>
  <c r="J14" i="2" s="1"/>
  <c r="F15" i="2"/>
  <c r="G15" i="2"/>
  <c r="I15" i="2" s="1"/>
  <c r="F18" i="5" s="1"/>
  <c r="H12" i="2"/>
  <c r="E15" i="5" s="1"/>
  <c r="F12" i="2"/>
  <c r="G12" i="2" s="1"/>
  <c r="H11" i="2"/>
  <c r="E14" i="5" l="1"/>
  <c r="H27" i="5"/>
  <c r="H31" i="5"/>
  <c r="K14" i="2"/>
  <c r="I14" i="2"/>
  <c r="F17" i="5" s="1"/>
  <c r="K15" i="2"/>
  <c r="J15" i="2"/>
  <c r="K12" i="2"/>
  <c r="J12" i="2"/>
  <c r="I12" i="2"/>
  <c r="F15" i="5" s="1"/>
  <c r="H30" i="5"/>
  <c r="H29" i="5"/>
  <c r="H28" i="5"/>
  <c r="H13" i="2"/>
  <c r="E16" i="5" s="1"/>
  <c r="F13" i="2"/>
  <c r="G13" i="2" s="1"/>
  <c r="E32" i="5" l="1"/>
  <c r="H29" i="2"/>
  <c r="L15" i="2"/>
  <c r="M15" i="2" s="1"/>
  <c r="L14" i="2"/>
  <c r="L12" i="2"/>
  <c r="H25" i="5"/>
  <c r="H24" i="5"/>
  <c r="H23" i="5"/>
  <c r="I13" i="2"/>
  <c r="F16" i="5" s="1"/>
  <c r="K13" i="2"/>
  <c r="J13" i="2"/>
  <c r="N15" i="2" l="1"/>
  <c r="M14" i="2"/>
  <c r="N14" i="2"/>
  <c r="N12" i="2"/>
  <c r="M12" i="2"/>
  <c r="L13" i="2"/>
  <c r="M13" i="2" l="1"/>
  <c r="N13" i="2"/>
  <c r="F11" i="2" l="1"/>
  <c r="G11" i="2" s="1"/>
  <c r="I11" i="2" l="1"/>
  <c r="K11" i="2"/>
  <c r="K29" i="2" s="1"/>
  <c r="J11" i="2"/>
  <c r="J29" i="2" s="1"/>
  <c r="E41" i="5" s="1"/>
  <c r="I29" i="2" l="1"/>
  <c r="F14" i="5"/>
  <c r="L11" i="2"/>
  <c r="M11" i="2" l="1"/>
  <c r="M29" i="2" s="1"/>
  <c r="N11" i="2"/>
  <c r="N29" i="2" s="1"/>
  <c r="D47" i="5" l="1"/>
  <c r="E40" i="5"/>
  <c r="H22" i="5"/>
  <c r="H19" i="5"/>
  <c r="H20" i="5"/>
  <c r="H18" i="5"/>
  <c r="H21" i="5"/>
  <c r="H55" i="5"/>
  <c r="H17" i="5" l="1"/>
  <c r="H26" i="5"/>
  <c r="H15" i="5"/>
  <c r="H16" i="5" l="1"/>
  <c r="L29" i="2"/>
  <c r="B7" i="2" l="1"/>
  <c r="F32" i="5" l="1"/>
  <c r="E42" i="5" l="1"/>
  <c r="D48" i="5"/>
  <c r="H54" i="5" l="1"/>
  <c r="H53" i="5"/>
  <c r="G48" i="5"/>
  <c r="F48" i="5"/>
  <c r="E48" i="5"/>
  <c r="G42" i="5"/>
  <c r="F42" i="5"/>
  <c r="D42" i="5"/>
  <c r="H34" i="5"/>
  <c r="G32" i="5"/>
  <c r="G36" i="5" s="1"/>
  <c r="G38" i="5" s="1"/>
  <c r="G43" i="5" s="1"/>
  <c r="D32" i="5"/>
  <c r="D36" i="5" s="1"/>
  <c r="D38" i="5" s="1"/>
  <c r="G49" i="5" l="1"/>
  <c r="G51" i="5" s="1"/>
  <c r="G56" i="5" s="1"/>
  <c r="D43" i="5"/>
  <c r="D49" i="5" s="1"/>
  <c r="D51" i="5" l="1"/>
  <c r="D56" i="5" s="1"/>
  <c r="D57" i="5" s="1"/>
  <c r="F36" i="5"/>
  <c r="F38" i="5" s="1"/>
  <c r="F43" i="5" s="1"/>
  <c r="F49" i="5" s="1"/>
  <c r="F51" i="5" l="1"/>
  <c r="F56" i="5" s="1"/>
  <c r="D58" i="5"/>
  <c r="H14" i="5"/>
  <c r="H32" i="5" l="1"/>
  <c r="E36" i="5"/>
  <c r="F57" i="5" l="1"/>
  <c r="F58" i="5" s="1"/>
  <c r="E38" i="5"/>
  <c r="E43" i="5" s="1"/>
  <c r="H36" i="5"/>
  <c r="H38" i="5" l="1"/>
  <c r="H42" i="5"/>
  <c r="H40" i="5"/>
  <c r="H47" i="5"/>
  <c r="H45" i="5"/>
  <c r="H48" i="5" l="1"/>
  <c r="E49" i="5"/>
  <c r="E51" i="5" l="1"/>
  <c r="E56" i="5" s="1"/>
  <c r="H49" i="5"/>
  <c r="G57" i="5"/>
  <c r="G58" i="5" s="1"/>
  <c r="H43" i="5"/>
  <c r="E57" i="5" l="1"/>
  <c r="H57" i="5" s="1"/>
  <c r="H56" i="5"/>
  <c r="E58" i="5" l="1"/>
  <c r="H58" i="5" s="1"/>
  <c r="H51" i="5"/>
  <c r="H52" i="5" l="1"/>
</calcChain>
</file>

<file path=xl/sharedStrings.xml><?xml version="1.0" encoding="utf-8"?>
<sst xmlns="http://schemas.openxmlformats.org/spreadsheetml/2006/main" count="174" uniqueCount="117">
  <si>
    <t>(наименование стройки)</t>
  </si>
  <si>
    <t>№ пп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</si>
  <si>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</si>
  <si>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</si>
  <si>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</si>
  <si>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</si>
  <si>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Глава 2. Основные объекты строительства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</si>
  <si>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</si>
  <si>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</si>
  <si>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</si>
  <si>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</si>
  <si>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</si>
  <si>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</si>
  <si>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</si>
  <si>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</si>
  <si>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</si>
  <si>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</si>
  <si>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</si>
  <si>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</si>
  <si>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</si>
  <si>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</si>
  <si>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ПИР</t>
  </si>
  <si>
    <t>СМР</t>
  </si>
  <si>
    <t>d+1</t>
  </si>
  <si>
    <t>-</t>
  </si>
  <si>
    <t>5,0-8,0% - прочие работы и затраты;</t>
  </si>
  <si>
    <t>2,6-3,18% - содержание службы заказчика-застройщика, строительный контроль;</t>
  </si>
  <si>
    <t>7,5-9,0% - проектно-изыскательские работы и авторский надзор;</t>
  </si>
  <si>
    <t>2,5-3,3% - временные здания и сооружения (при реконструкции и расширении применяется коэффициент 0,8);</t>
  </si>
  <si>
    <t>1,5% - благоустройство;</t>
  </si>
  <si>
    <t>по п.2.7:</t>
  </si>
  <si>
    <t>1.1.</t>
  </si>
  <si>
    <t>Для ВЛ:</t>
  </si>
  <si>
    <t xml:space="preserve">1. </t>
  </si>
  <si>
    <t>Коэффициенты, учитывающие лимитированные затраты, условия производства работ, прочие затраты и т.д.: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</si>
  <si>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</si>
  <si>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</si>
  <si>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Примечания:</t>
  </si>
  <si>
    <t>Итого по расчету</t>
  </si>
  <si>
    <t>заказчик</t>
  </si>
  <si>
    <t>Прочие, руб.</t>
  </si>
  <si>
    <t>ПНР, руб.</t>
  </si>
  <si>
    <t>Оборудование, приспособления и производственный инвентарь, руб.</t>
  </si>
  <si>
    <t>в т.ч.</t>
  </si>
  <si>
    <t>Всего, руб.</t>
  </si>
  <si>
    <t>Стоимость в ценах 2001г, тыс.руб.</t>
  </si>
  <si>
    <t>Коэффициенты, учитывающие лимитированные затраты, условия производства работ, прочие затраты и т.д.</t>
  </si>
  <si>
    <t>Объем работ</t>
  </si>
  <si>
    <t>Цена за ед. объема работ, в ценах 2001г,  тыс.руб.</t>
  </si>
  <si>
    <t>Обоснование</t>
  </si>
  <si>
    <t>Наименование</t>
  </si>
  <si>
    <t>№ п.п.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</si>
  <si>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</si>
  <si>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 xml:space="preserve">Расчет стоимости строительства для подключения объекта заявителя по укрупненным показателям стоимости строительства(реконструкции) подстанций и линий электропередач </t>
  </si>
  <si>
    <t>d+2</t>
  </si>
  <si>
    <t>d+3</t>
  </si>
  <si>
    <t>d</t>
  </si>
  <si>
    <t>МРСК</t>
  </si>
  <si>
    <t>СМЕТНЫЙ РАСЧЕТ</t>
  </si>
  <si>
    <t>табл. 2</t>
  </si>
  <si>
    <t>1,018 - коэффициент , учитывающий работу вблизи объектов, находящихся под высоким напряжениемпри изменении конструктивных решений, проводав, кабелей более 50%</t>
  </si>
  <si>
    <t>1,013 -коэффициент, учитывающий работу в условиях городской и промышленной застройки</t>
  </si>
  <si>
    <t>1,053 -коэффициент, учитывающий работу в условиях болотистой трассы</t>
  </si>
  <si>
    <t>1,028 -коэффициент, учитывающий работу в условиях распутицы, в пойме реки</t>
  </si>
  <si>
    <t>1.2.</t>
  </si>
  <si>
    <t>по п.1.6.</t>
  </si>
  <si>
    <t>1.3.</t>
  </si>
  <si>
    <t>по таблице  4</t>
  </si>
  <si>
    <t>1,5% - непредвиденные затраты (при согласовании с заказчиком до 10%)</t>
  </si>
  <si>
    <t>К=1,322=((1,5+2,5+7,5+5+1,5)/100+1)*1,12</t>
  </si>
  <si>
    <t>Итого  по сводному расчету в ценах 4 квартала 2020 года без НДС</t>
  </si>
  <si>
    <t>Составлена в ценах по состоянию на 4 кв. 2020 год и прогнозном уровне цен 2021 год</t>
  </si>
  <si>
    <t>Общая сметная стоимость, руб.</t>
  </si>
  <si>
    <t xml:space="preserve">    Проектная документация учтена в стадии рабочей документации</t>
  </si>
  <si>
    <t xml:space="preserve">          Перевод в текущие  цены, 4 квартал 2020г.,осуществлен с учетом индексов, указанных в письме Минстроя России  №44016-ИФ/09 от 02.11.2020, №45484-ИФ/09 от12.11.2020</t>
  </si>
  <si>
    <t>Стоимость в ценах по состоянию на 4 кв. 2020 год с учетом ДВ*, руб.</t>
  </si>
  <si>
    <t>НДС 20%</t>
  </si>
  <si>
    <t>Справочно стоимость объекта в прогнозных ценах без НДС</t>
  </si>
  <si>
    <t>ИТОГО стоимость в прогнозных ценах без НДС</t>
  </si>
  <si>
    <t>ВСЕГО стоимость в прогнозных ценах с НДС</t>
  </si>
  <si>
    <t>СМР , руб.</t>
  </si>
  <si>
    <t>Сметная стоимость, руб.</t>
  </si>
  <si>
    <t>табл. 6</t>
  </si>
  <si>
    <t>К=1,286=((1,5+2,5+7,5+5+1,5)/100+1)*1,09</t>
  </si>
  <si>
    <t>1,12 - при изменении конструктивных решений, проводав, кабелей более 50% на ВЛ</t>
  </si>
  <si>
    <t>1,09 - при изменении конструктивных решений, проводав, кабелей более 50% на ТП</t>
  </si>
  <si>
    <t>Коэффициент учитывающий общий объем финансовых потребностей по сборнику УНЦ</t>
  </si>
  <si>
    <t xml:space="preserve">Заместитель директора по развитию и инвестициям </t>
  </si>
  <si>
    <t>Скаредин В.А.</t>
  </si>
  <si>
    <t xml:space="preserve">Начальник ООСТНиУИ     </t>
  </si>
  <si>
    <t>Москалев А.В.</t>
  </si>
  <si>
    <t xml:space="preserve">Начальник ОСДР </t>
  </si>
  <si>
    <t>Стеценко Л.В.</t>
  </si>
  <si>
    <t xml:space="preserve">Ведущий инженер-сметчик ОСДР      </t>
  </si>
  <si>
    <t>Гаврюш Т.П.</t>
  </si>
  <si>
    <t>Реконструкция распределительных сетей 6/0,4 кВ п. Шкотово, п. Смоляниново, с. Романовка, ПС Верхняя</t>
  </si>
  <si>
    <t>ВЛ-6 кВ Ф-9 ПС Шкотово (свободностоящая)  СИП 70 ж/б без учета стоек опор ж/б СВ 95-3 2 шт. и провода СИП - 0,1 км.</t>
  </si>
  <si>
    <t>ВЛ-6 кВ Ф-17 ПС Шкотово (свободностоящая)  СИП 70 ж/б без учета стоек опор ж/б СВ 95-3 11 шт. и провода СИП - 0,6 км.</t>
  </si>
  <si>
    <t>КТП-83067
без учета КТП 400 кВА</t>
  </si>
  <si>
    <t>ВЛ-0,4 кВ Ф-Луговая КТП-83067 (свободностоящая)  СИП 70 ж/б без учета стоек опор ж/б СВ 95-3 92 шт. и провода СИП - 3,6 км.</t>
  </si>
  <si>
    <t>ВЛ-0,4 кВ Ф-Южная КТП-83067 (свободностоящая)  СИП 70 ж/б без учета стоек опор ж/б СВ 95-3 9 шт. и провода СИП - 0,3 км.</t>
  </si>
  <si>
    <t>КТП-83051
без учета КТП 400 кВА</t>
  </si>
  <si>
    <t>ВЛ-0,4 кВ Ф-1 КТП-83048 (свободностоящая)  СИП 70 ж/б без учета стоек опор ж/б СВ 95-3 4 шт. и провода СИП - 0,4 км.</t>
  </si>
  <si>
    <t>ВЛ-0,4 кВ Ф-2 КТП-83048 (свободностоящая)  СИП 70 ж/б без учета стоек опор ж/б СВ 95-3 9 шт. и провода СИП - 0,4 км.</t>
  </si>
  <si>
    <t>ВЛ-0,4 кВ Ф-Матюшкина от ТП-3042 (свободностоящая)  СИП 70 ж/б без учета стоек опор ж/б СВ 95-3 11 шт. и провода СИП - 0,4 км.</t>
  </si>
  <si>
    <t>ВЛ-0,4 кВ Ф-Автозоводская ТП-3042 (свободностоящая)  СИП 70 ж/б без учета стоек опор ж/б СВ 95-3 44 шт. и провода СИП - 1,7 км.</t>
  </si>
  <si>
    <t>ВЛ-6 кВ Ф-14 ПС Верхняя (свободностоящая)  СИП 70 ж/б без учета стоек опор ж/б СВ 95-3 5 шт. и провода СИП - 0,3 км.</t>
  </si>
  <si>
    <t>ВЛ-6 кВ Ф-16 ПС Верхняя (свободностоящая)  СИП 70 ж/б без учета стоек опор ж/б СВ 95-3 8 шт. и провода СИП - 0,3 км.</t>
  </si>
  <si>
    <t>ВЛ-0,4 кВ Ф-1 КТП-83021  (свободностоящая)  СИП 70 ж/б без учета стоек опор ж/б СВ 95-3 66 шт. и провода СИП - 3 км.</t>
  </si>
  <si>
    <t>КТП-83003
без учета КТП 400 кВА</t>
  </si>
  <si>
    <t>ВЛ-0,4 кВ Ф-1 (ул. Первомайская, магазин) КТП-83007 (свободностоящая)  СИП 70 ж/б без учета стоек опор ж/б СВ 95-3 27 шт. и провода СИП - 1,4 км.</t>
  </si>
  <si>
    <t>ВЛ-0,4 кВ Ф-2 (ул. Первомайская, Заречная) КТП-83007 (свободностоящая)  СИП 70 ж/б без учета стоек опор ж/б СВ 95-3 51 шт. и провода СИП - 1,8 км.</t>
  </si>
  <si>
    <t>ВЛ-0,4 кВ Ф-3 ул. (Первомайская, Заречная) КТП-83007 (свободностоящая)  СИП 70 ж/б без учета стоек опор ж/б СВ 95-3 35 шт. и провода СИП - 1,8 км.</t>
  </si>
  <si>
    <t>ВЛ-0,4 кВ Ф-4 ул. (Первомайская) КТП-83007 (свободностоящая)  СИП 70 ж/б без учета стоек опор ж/б СВ 95-3 35 шт. и провода СИП - 1,8 км.</t>
  </si>
  <si>
    <t xml:space="preserve">ПНР ТП </t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</si>
  <si>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</t>
    </r>
  </si>
  <si>
    <t>Разработка рабочей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</si>
</sst>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0.000"/>
    <numFmt numFmtId="173" formatCode="#,##0_ ;\-#,##0\ "/>
    <numFmt numFmtId="174" formatCode="#,##0_);[Red]\(#,##0\)"/>
    <numFmt numFmtId="175" formatCode="#,##0_);\(#,##0\)"/>
    <numFmt numFmtId="176" formatCode="[&lt;=9999999]###\-####;\+#_ \(###\)\ ###\-####"/>
    <numFmt numFmtId="177" formatCode="_-* #,##0.00\ _р_._-;\-* #,##0.00\ _р_._-;_-* &quot;-&quot;??\ _р_._-;_-@_-"/>
    <numFmt numFmtId="178" formatCode="#,##0.00000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name val="Times New Roman"/>
      <family val="1"/>
      <charset val="204"/>
    </font>
    <font>
      <sz val="9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</borders>
  <cellStyleXfs count="979">
    <xf numFmtId="0" fontId="0" fillId="0" borderId="0"/>
    <xf numFmtId="0" fontId="7" fillId="0" borderId="0"/>
    <xf numFmtId="0" fontId="14" fillId="0" borderId="0"/>
    <xf numFmtId="0" fontId="9" fillId="0" borderId="0"/>
    <xf numFmtId="0" fontId="13" fillId="0" borderId="0"/>
    <xf numFmtId="0" fontId="15" fillId="0" borderId="0"/>
    <xf numFmtId="38" fontId="16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17" fillId="0" borderId="0"/>
    <xf numFmtId="0" fontId="18" fillId="0" borderId="0">
      <alignment horizontal="left" vertical="top"/>
    </xf>
    <xf numFmtId="166" fontId="7" fillId="0" borderId="0" applyFont="0" applyFill="0" applyBorder="0" applyAlignment="0" applyProtection="0"/>
    <xf numFmtId="0" fontId="10" fillId="0" borderId="0">
      <alignment horizontal="right" vertical="top" wrapText="1"/>
    </xf>
    <xf numFmtId="0" fontId="10" fillId="0" borderId="2">
      <alignment horizontal="center" wrapText="1"/>
    </xf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2" applyBorder="0" applyAlignment="0">
      <alignment horizontal="center" wrapText="1"/>
    </xf>
    <xf numFmtId="9" fontId="7" fillId="0" borderId="0" applyFont="0" applyFill="0" applyBorder="0" applyAlignment="0" applyProtection="0"/>
    <xf numFmtId="0" fontId="19" fillId="0" borderId="0"/>
    <xf numFmtId="0" fontId="10" fillId="0" borderId="0">
      <alignment horizontal="center"/>
    </xf>
    <xf numFmtId="165" fontId="7" fillId="0" borderId="0" applyFont="0" applyFill="0" applyBorder="0" applyAlignment="0" applyProtection="0"/>
    <xf numFmtId="40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0" fillId="0" borderId="0">
      <alignment horizontal="left" vertical="top"/>
    </xf>
    <xf numFmtId="0" fontId="6" fillId="0" borderId="0"/>
    <xf numFmtId="0" fontId="29" fillId="0" borderId="0"/>
    <xf numFmtId="0" fontId="8" fillId="0" borderId="0"/>
    <xf numFmtId="0" fontId="8" fillId="0" borderId="0"/>
    <xf numFmtId="0" fontId="9" fillId="0" borderId="0"/>
    <xf numFmtId="0" fontId="14" fillId="0" borderId="0"/>
    <xf numFmtId="173" fontId="8" fillId="0" borderId="0" applyFont="0" applyFill="0" applyBorder="0" applyAlignment="0" applyProtection="0"/>
    <xf numFmtId="0" fontId="30" fillId="0" borderId="0"/>
    <xf numFmtId="0" fontId="30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174" fontId="32" fillId="0" borderId="0">
      <alignment vertical="top"/>
    </xf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174" fontId="32" fillId="0" borderId="0">
      <alignment vertical="top"/>
    </xf>
    <xf numFmtId="0" fontId="31" fillId="0" borderId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8" borderId="0" applyNumberFormat="0" applyBorder="0" applyAlignment="0" applyProtection="0"/>
    <xf numFmtId="0" fontId="33" fillId="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2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174" fontId="35" fillId="23" borderId="0">
      <alignment vertical="top"/>
    </xf>
    <xf numFmtId="14" fontId="36" fillId="0" borderId="0">
      <alignment vertical="top"/>
    </xf>
    <xf numFmtId="174" fontId="37" fillId="0" borderId="0">
      <alignment vertical="top"/>
    </xf>
    <xf numFmtId="0" fontId="38" fillId="0" borderId="0">
      <alignment vertical="top"/>
    </xf>
    <xf numFmtId="174" fontId="39" fillId="0" borderId="0">
      <alignment vertical="top"/>
    </xf>
    <xf numFmtId="175" fontId="35" fillId="0" borderId="0">
      <alignment vertical="top"/>
    </xf>
    <xf numFmtId="174" fontId="40" fillId="24" borderId="0">
      <alignment horizontal="right" vertical="top"/>
    </xf>
    <xf numFmtId="0" fontId="8" fillId="0" borderId="0"/>
    <xf numFmtId="0" fontId="8" fillId="0" borderId="0"/>
    <xf numFmtId="0" fontId="41" fillId="25" borderId="0"/>
    <xf numFmtId="176" fontId="36" fillId="0" borderId="0">
      <alignment vertical="top"/>
    </xf>
    <xf numFmtId="0" fontId="10" fillId="0" borderId="2">
      <alignment horizontal="center"/>
    </xf>
    <xf numFmtId="0" fontId="7" fillId="0" borderId="0">
      <alignment vertical="top"/>
    </xf>
    <xf numFmtId="0" fontId="34" fillId="26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10" fillId="0" borderId="2">
      <alignment horizontal="center"/>
    </xf>
    <xf numFmtId="0" fontId="10" fillId="0" borderId="0">
      <alignment vertical="top"/>
    </xf>
    <xf numFmtId="0" fontId="43" fillId="14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4" fillId="14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5" fillId="0" borderId="0" applyBorder="0">
      <alignment horizontal="center" vertical="center" wrapText="1"/>
    </xf>
    <xf numFmtId="0" fontId="46" fillId="0" borderId="10" applyNumberFormat="0" applyFill="0" applyAlignment="0" applyProtection="0"/>
    <xf numFmtId="0" fontId="47" fillId="0" borderId="11" applyNumberFormat="0" applyFill="0" applyAlignment="0" applyProtection="0"/>
    <xf numFmtId="0" fontId="46" fillId="0" borderId="10" applyNumberFormat="0" applyFill="0" applyAlignment="0" applyProtection="0"/>
    <xf numFmtId="0" fontId="46" fillId="0" borderId="10" applyNumberFormat="0" applyFill="0" applyAlignment="0" applyProtection="0"/>
    <xf numFmtId="0" fontId="48" fillId="0" borderId="12" applyNumberFormat="0" applyFill="0" applyAlignment="0" applyProtection="0"/>
    <xf numFmtId="0" fontId="49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50" fillId="0" borderId="13" applyNumberFormat="0" applyFill="0" applyAlignment="0" applyProtection="0"/>
    <xf numFmtId="0" fontId="51" fillId="0" borderId="14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15" applyBorder="0">
      <alignment horizontal="center" vertical="center" wrapText="1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0" fontId="7" fillId="0" borderId="0"/>
    <xf numFmtId="0" fontId="54" fillId="0" borderId="16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7" fillId="0" borderId="0">
      <alignment vertical="top"/>
    </xf>
    <xf numFmtId="0" fontId="7" fillId="0" borderId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5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8" fillId="0" borderId="0"/>
    <xf numFmtId="0" fontId="8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0" borderId="0"/>
    <xf numFmtId="0" fontId="7" fillId="0" borderId="0"/>
    <xf numFmtId="0" fontId="60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0" fillId="0" borderId="0"/>
    <xf numFmtId="0" fontId="30" fillId="0" borderId="0"/>
    <xf numFmtId="0" fontId="30" fillId="0" borderId="0"/>
    <xf numFmtId="0" fontId="61" fillId="0" borderId="0"/>
    <xf numFmtId="0" fontId="30" fillId="0" borderId="0"/>
    <xf numFmtId="0" fontId="30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8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2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30" fillId="0" borderId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3" fillId="0" borderId="0"/>
    <xf numFmtId="0" fontId="5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3" fillId="0" borderId="0"/>
    <xf numFmtId="0" fontId="33" fillId="0" borderId="0"/>
    <xf numFmtId="0" fontId="30" fillId="0" borderId="0"/>
    <xf numFmtId="0" fontId="5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33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3" fillId="0" borderId="0"/>
    <xf numFmtId="0" fontId="33" fillId="0" borderId="0"/>
    <xf numFmtId="0" fontId="8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0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2">
      <alignment horizontal="center" wrapText="1"/>
    </xf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0" fillId="10" borderId="19" applyNumberFormat="0" applyFont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66" fillId="10" borderId="19" applyNumberFormat="0" applyFont="0" applyAlignment="0" applyProtection="0"/>
    <xf numFmtId="0" fontId="33" fillId="10" borderId="19" applyNumberFormat="0" applyFont="0" applyAlignment="0" applyProtection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2">
      <alignment horizontal="center"/>
    </xf>
    <xf numFmtId="0" fontId="7" fillId="0" borderId="0"/>
    <xf numFmtId="0" fontId="10" fillId="0" borderId="2">
      <alignment horizontal="center" wrapText="1"/>
    </xf>
    <xf numFmtId="0" fontId="7" fillId="0" borderId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174" fontId="32" fillId="0" borderId="0">
      <alignment vertical="top"/>
    </xf>
    <xf numFmtId="0" fontId="15" fillId="0" borderId="0"/>
    <xf numFmtId="0" fontId="15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4" fontId="53" fillId="33" borderId="0" applyBorder="0">
      <alignment horizontal="right"/>
    </xf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" fillId="0" borderId="0"/>
    <xf numFmtId="0" fontId="10" fillId="0" borderId="0"/>
    <xf numFmtId="167" fontId="9" fillId="0" borderId="0" applyFont="0" applyFill="0" applyBorder="0" applyAlignment="0" applyProtection="0"/>
    <xf numFmtId="0" fontId="9" fillId="0" borderId="0"/>
    <xf numFmtId="0" fontId="29" fillId="0" borderId="0"/>
    <xf numFmtId="0" fontId="5" fillId="0" borderId="0"/>
    <xf numFmtId="0" fontId="4" fillId="0" borderId="0"/>
    <xf numFmtId="0" fontId="3" fillId="0" borderId="0"/>
    <xf numFmtId="0" fontId="9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9" fontId="10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7" fillId="0" borderId="0" xfId="1"/>
    <xf numFmtId="0" fontId="11" fillId="0" borderId="2" xfId="1" applyFont="1" applyBorder="1" applyAlignment="1">
      <alignment wrapText="1"/>
    </xf>
    <xf numFmtId="0" fontId="20" fillId="0" borderId="0" xfId="33" applyFont="1"/>
    <xf numFmtId="0" fontId="21" fillId="0" borderId="0" xfId="33" applyFont="1"/>
    <xf numFmtId="0" fontId="21" fillId="0" borderId="0" xfId="33" applyFont="1" applyAlignment="1">
      <alignment horizontal="right"/>
    </xf>
    <xf numFmtId="0" fontId="22" fillId="0" borderId="0" xfId="33" applyFont="1"/>
    <xf numFmtId="49" fontId="22" fillId="0" borderId="0" xfId="33" applyNumberFormat="1" applyFont="1" applyAlignment="1">
      <alignment horizontal="right" vertical="center"/>
    </xf>
    <xf numFmtId="0" fontId="22" fillId="0" borderId="0" xfId="33" applyFont="1" applyAlignment="1">
      <alignment horizontal="right"/>
    </xf>
    <xf numFmtId="0" fontId="23" fillId="0" borderId="0" xfId="33" applyFont="1"/>
    <xf numFmtId="0" fontId="23" fillId="0" borderId="0" xfId="33" applyFont="1" applyAlignment="1">
      <alignment horizontal="right"/>
    </xf>
    <xf numFmtId="4" fontId="25" fillId="0" borderId="0" xfId="33" applyNumberFormat="1" applyFont="1" applyBorder="1" applyAlignment="1">
      <alignment horizontal="center" vertical="center"/>
    </xf>
    <xf numFmtId="0" fontId="25" fillId="0" borderId="0" xfId="33" applyFont="1" applyBorder="1" applyAlignment="1">
      <alignment horizontal="left" vertical="center" wrapText="1"/>
    </xf>
    <xf numFmtId="0" fontId="20" fillId="0" borderId="2" xfId="33" applyFont="1" applyBorder="1" applyAlignment="1">
      <alignment horizontal="center" vertical="center"/>
    </xf>
    <xf numFmtId="0" fontId="20" fillId="0" borderId="2" xfId="33" applyFont="1" applyBorder="1" applyAlignment="1">
      <alignment horizontal="center" vertical="center" wrapText="1"/>
    </xf>
    <xf numFmtId="0" fontId="20" fillId="3" borderId="0" xfId="33" applyFont="1" applyFill="1"/>
    <xf numFmtId="0" fontId="26" fillId="3" borderId="0" xfId="33" applyFont="1" applyFill="1" applyAlignment="1">
      <alignment horizontal="right"/>
    </xf>
    <xf numFmtId="0" fontId="20" fillId="0" borderId="0" xfId="33" applyFont="1" applyAlignment="1">
      <alignment horizontal="center"/>
    </xf>
    <xf numFmtId="0" fontId="27" fillId="0" borderId="0" xfId="33" applyFont="1" applyAlignment="1">
      <alignment horizontal="left" wrapText="1"/>
    </xf>
    <xf numFmtId="0" fontId="24" fillId="0" borderId="0" xfId="33" applyFont="1" applyAlignment="1">
      <alignment vertical="top" wrapText="1"/>
    </xf>
    <xf numFmtId="0" fontId="71" fillId="0" borderId="0" xfId="0" applyFont="1" applyAlignment="1">
      <alignment horizontal="right"/>
    </xf>
    <xf numFmtId="0" fontId="11" fillId="0" borderId="2" xfId="1" applyFont="1" applyBorder="1" applyAlignment="1">
      <alignment horizontal="center" wrapText="1"/>
    </xf>
    <xf numFmtId="0" fontId="7" fillId="0" borderId="0" xfId="1" applyFont="1"/>
    <xf numFmtId="49" fontId="7" fillId="0" borderId="0" xfId="1" applyNumberFormat="1" applyFont="1"/>
    <xf numFmtId="49" fontId="0" fillId="0" borderId="0" xfId="1" applyNumberFormat="1" applyFont="1"/>
    <xf numFmtId="4" fontId="25" fillId="0" borderId="0" xfId="971" applyNumberFormat="1" applyFont="1" applyBorder="1" applyAlignment="1">
      <alignment horizontal="right" vertical="center"/>
    </xf>
    <xf numFmtId="4" fontId="25" fillId="0" borderId="0" xfId="971" applyNumberFormat="1" applyFont="1" applyBorder="1" applyAlignment="1">
      <alignment horizontal="right"/>
    </xf>
    <xf numFmtId="0" fontId="20" fillId="0" borderId="0" xfId="971" applyFont="1" applyAlignment="1"/>
    <xf numFmtId="40" fontId="72" fillId="0" borderId="0" xfId="1" applyNumberFormat="1" applyFont="1" applyFill="1" applyBorder="1" applyAlignment="1">
      <alignment horizontal="center" vertical="top" wrapText="1"/>
    </xf>
    <xf numFmtId="178" fontId="25" fillId="0" borderId="0" xfId="33" applyNumberFormat="1" applyFont="1" applyBorder="1" applyAlignment="1">
      <alignment horizontal="center" vertical="center"/>
    </xf>
    <xf numFmtId="168" fontId="10" fillId="0" borderId="2" xfId="1" applyNumberFormat="1" applyFont="1" applyFill="1" applyBorder="1" applyAlignment="1">
      <alignment horizontal="right" vertical="top"/>
    </xf>
    <xf numFmtId="168" fontId="10" fillId="3" borderId="2" xfId="1" applyNumberFormat="1" applyFont="1" applyFill="1" applyBorder="1" applyAlignment="1">
      <alignment horizontal="right" vertical="top" wrapText="1"/>
    </xf>
    <xf numFmtId="0" fontId="0" fillId="0" borderId="0" xfId="1" applyFont="1"/>
    <xf numFmtId="0" fontId="23" fillId="0" borderId="0" xfId="973" applyFont="1" applyAlignment="1">
      <alignment horizontal="right"/>
    </xf>
    <xf numFmtId="0" fontId="22" fillId="0" borderId="0" xfId="973" applyFont="1" applyAlignment="1">
      <alignment horizontal="right"/>
    </xf>
    <xf numFmtId="49" fontId="22" fillId="0" borderId="0" xfId="973" applyNumberFormat="1" applyFont="1" applyAlignment="1">
      <alignment horizontal="right" vertical="center"/>
    </xf>
    <xf numFmtId="172" fontId="25" fillId="0" borderId="0" xfId="33" applyNumberFormat="1" applyFont="1" applyBorder="1" applyAlignment="1">
      <alignment horizontal="left" vertical="center" wrapText="1"/>
    </xf>
    <xf numFmtId="168" fontId="11" fillId="3" borderId="2" xfId="1" applyNumberFormat="1" applyFont="1" applyFill="1" applyBorder="1" applyAlignment="1">
      <alignment wrapText="1"/>
    </xf>
    <xf numFmtId="0" fontId="20" fillId="0" borderId="2" xfId="36" applyFont="1" applyBorder="1" applyAlignment="1">
      <alignment horizontal="center" vertical="center" wrapText="1"/>
    </xf>
    <xf numFmtId="0" fontId="20" fillId="3" borderId="2" xfId="975" applyFont="1" applyFill="1" applyBorder="1" applyAlignment="1">
      <alignment horizontal="center" vertical="center"/>
    </xf>
    <xf numFmtId="4" fontId="20" fillId="3" borderId="2" xfId="975" applyNumberFormat="1" applyFont="1" applyFill="1" applyBorder="1" applyAlignment="1">
      <alignment horizontal="center" vertical="center"/>
    </xf>
    <xf numFmtId="4" fontId="20" fillId="3" borderId="2" xfId="976" applyNumberFormat="1" applyFont="1" applyFill="1" applyBorder="1" applyAlignment="1">
      <alignment vertical="center"/>
    </xf>
    <xf numFmtId="0" fontId="23" fillId="0" borderId="0" xfId="978" applyFont="1"/>
    <xf numFmtId="0" fontId="22" fillId="0" borderId="0" xfId="978" applyFont="1"/>
    <xf numFmtId="0" fontId="22" fillId="0" borderId="0" xfId="695" applyFont="1"/>
    <xf numFmtId="0" fontId="20" fillId="0" borderId="0" xfId="695" applyFont="1"/>
    <xf numFmtId="0" fontId="20" fillId="0" borderId="0" xfId="36" applyFont="1"/>
    <xf numFmtId="0" fontId="10" fillId="2" borderId="7" xfId="0" applyFont="1" applyFill="1" applyBorder="1" applyAlignment="1">
      <alignment horizontal="center" vertical="top"/>
    </xf>
    <xf numFmtId="172" fontId="10" fillId="0" borderId="2" xfId="373" applyNumberFormat="1" applyFont="1" applyFill="1" applyBorder="1" applyAlignment="1">
      <alignment horizontal="left" vertical="top"/>
    </xf>
    <xf numFmtId="4" fontId="25" fillId="0" borderId="2" xfId="33" applyNumberFormat="1" applyFont="1" applyBorder="1" applyAlignment="1">
      <alignment horizontal="right" vertical="center"/>
    </xf>
    <xf numFmtId="4" fontId="20" fillId="0" borderId="2" xfId="33" applyNumberFormat="1" applyFont="1" applyBorder="1" applyAlignment="1">
      <alignment horizontal="right" vertical="center"/>
    </xf>
    <xf numFmtId="172" fontId="10" fillId="0" borderId="2" xfId="0" applyNumberFormat="1" applyFont="1" applyBorder="1" applyAlignment="1">
      <alignment horizontal="right" vertical="top"/>
    </xf>
    <xf numFmtId="0" fontId="21" fillId="0" borderId="0" xfId="973" applyFont="1" applyAlignment="1">
      <alignment horizontal="right"/>
    </xf>
    <xf numFmtId="0" fontId="21" fillId="0" borderId="0" xfId="973" applyFont="1"/>
    <xf numFmtId="4" fontId="20" fillId="4" borderId="2" xfId="976" applyNumberFormat="1" applyFont="1" applyFill="1" applyBorder="1" applyAlignment="1">
      <alignment vertical="center" wrapText="1"/>
    </xf>
    <xf numFmtId="4" fontId="25" fillId="4" borderId="2" xfId="33" applyNumberFormat="1" applyFont="1" applyFill="1" applyBorder="1" applyAlignment="1">
      <alignment horizontal="right" vertical="center"/>
    </xf>
    <xf numFmtId="4" fontId="10" fillId="0" borderId="2" xfId="0" applyNumberFormat="1" applyFont="1" applyBorder="1" applyAlignment="1">
      <alignment horizontal="right" vertical="top"/>
    </xf>
    <xf numFmtId="4" fontId="10" fillId="0" borderId="2" xfId="0" applyNumberFormat="1" applyFont="1" applyBorder="1" applyAlignment="1">
      <alignment horizontal="right" vertical="top" wrapText="1"/>
    </xf>
    <xf numFmtId="4" fontId="11" fillId="2" borderId="2" xfId="1" applyNumberFormat="1" applyFont="1" applyFill="1" applyBorder="1" applyAlignment="1">
      <alignment wrapText="1"/>
    </xf>
    <xf numFmtId="168" fontId="11" fillId="0" borderId="2" xfId="1" applyNumberFormat="1" applyFont="1" applyFill="1" applyBorder="1" applyAlignment="1">
      <alignment wrapText="1"/>
    </xf>
    <xf numFmtId="0" fontId="74" fillId="0" borderId="0" xfId="33" applyFont="1"/>
    <xf numFmtId="0" fontId="74" fillId="0" borderId="0" xfId="975" applyFont="1" applyAlignment="1">
      <alignment horizontal="left"/>
    </xf>
    <xf numFmtId="0" fontId="74" fillId="0" borderId="0" xfId="975" applyFont="1"/>
    <xf numFmtId="0" fontId="75" fillId="0" borderId="0" xfId="36" applyFont="1" applyAlignment="1">
      <alignment horizontal="left" wrapText="1"/>
    </xf>
    <xf numFmtId="0" fontId="76" fillId="0" borderId="0" xfId="36" applyFont="1"/>
    <xf numFmtId="0" fontId="20" fillId="0" borderId="21" xfId="33" applyFont="1" applyBorder="1"/>
    <xf numFmtId="49" fontId="22" fillId="0" borderId="0" xfId="978" applyNumberFormat="1" applyFont="1"/>
    <xf numFmtId="49" fontId="10" fillId="0" borderId="0" xfId="0" applyNumberFormat="1" applyFont="1"/>
    <xf numFmtId="2" fontId="10" fillId="0" borderId="2" xfId="0" applyNumberFormat="1" applyFont="1" applyBorder="1" applyAlignment="1">
      <alignment horizontal="left" vertical="top" wrapText="1"/>
    </xf>
    <xf numFmtId="4" fontId="20" fillId="0" borderId="0" xfId="971" applyNumberFormat="1" applyFont="1" applyAlignment="1"/>
    <xf numFmtId="4" fontId="20" fillId="0" borderId="0" xfId="33" applyNumberFormat="1" applyFont="1"/>
    <xf numFmtId="4" fontId="10" fillId="0" borderId="0" xfId="0" applyNumberFormat="1" applyFont="1"/>
    <xf numFmtId="0" fontId="20" fillId="0" borderId="2" xfId="33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0" fontId="20" fillId="0" borderId="2" xfId="36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0" fontId="77" fillId="0" borderId="0" xfId="0" applyFont="1" applyFill="1" applyAlignment="1">
      <alignment horizontal="left"/>
    </xf>
    <xf numFmtId="0" fontId="74" fillId="0" borderId="0" xfId="0" applyFont="1"/>
    <xf numFmtId="0" fontId="76" fillId="0" borderId="0" xfId="0" applyFont="1" applyBorder="1" applyAlignment="1">
      <alignment horizontal="left" vertical="top"/>
    </xf>
    <xf numFmtId="0" fontId="76" fillId="0" borderId="0" xfId="1" applyFont="1"/>
    <xf numFmtId="0" fontId="74" fillId="0" borderId="0" xfId="0" applyFont="1" applyAlignment="1">
      <alignment horizontal="left" vertical="top"/>
    </xf>
    <xf numFmtId="0" fontId="76" fillId="0" borderId="0" xfId="1" applyFont="1" applyAlignment="1">
      <alignment horizontal="left" vertical="top"/>
    </xf>
    <xf numFmtId="0" fontId="76" fillId="0" borderId="0" xfId="1" applyFont="1" applyAlignment="1">
      <alignment horizontal="right" vertical="top"/>
    </xf>
    <xf numFmtId="0" fontId="74" fillId="0" borderId="0" xfId="0" applyFont="1" applyAlignment="1">
      <alignment vertical="top"/>
    </xf>
    <xf numFmtId="0" fontId="76" fillId="0" borderId="0" xfId="1" applyFont="1" applyAlignment="1">
      <alignment vertical="top" wrapText="1"/>
    </xf>
    <xf numFmtId="0" fontId="74" fillId="0" borderId="0" xfId="0" applyFont="1" applyAlignment="1">
      <alignment wrapText="1"/>
    </xf>
    <xf numFmtId="0" fontId="74" fillId="0" borderId="0" xfId="0" applyFont="1" applyAlignment="1">
      <alignment horizontal="left" vertical="top" wrapText="1"/>
    </xf>
    <xf numFmtId="0" fontId="74" fillId="0" borderId="0" xfId="0" applyFont="1" applyAlignment="1">
      <alignment vertical="top" wrapText="1"/>
    </xf>
    <xf numFmtId="0" fontId="76" fillId="0" borderId="0" xfId="0" applyFont="1" applyAlignment="1">
      <alignment horizontal="left" vertical="top"/>
    </xf>
    <xf numFmtId="4" fontId="20" fillId="0" borderId="2" xfId="977" applyNumberFormat="1" applyFont="1" applyFill="1" applyBorder="1" applyAlignment="1">
      <alignment vertical="center" wrapText="1"/>
    </xf>
    <xf numFmtId="0" fontId="20" fillId="3" borderId="0" xfId="33" applyFont="1" applyFill="1" applyAlignment="1">
      <alignment horizontal="left"/>
    </xf>
    <xf numFmtId="172" fontId="20" fillId="3" borderId="0" xfId="33" applyNumberFormat="1" applyFont="1" applyFill="1" applyAlignment="1">
      <alignment horizontal="left"/>
    </xf>
    <xf numFmtId="49" fontId="20" fillId="3" borderId="0" xfId="33" applyNumberFormat="1" applyFont="1" applyFill="1" applyAlignment="1">
      <alignment horizontal="left"/>
    </xf>
    <xf numFmtId="0" fontId="74" fillId="0" borderId="0" xfId="0" applyFont="1" applyAlignment="1">
      <alignment horizontal="left" vertical="top"/>
    </xf>
    <xf numFmtId="0" fontId="74" fillId="0" borderId="0" xfId="0" applyFont="1" applyAlignment="1">
      <alignment horizontal="left" vertical="top" wrapText="1"/>
    </xf>
    <xf numFmtId="49" fontId="11" fillId="2" borderId="3" xfId="0" applyNumberFormat="1" applyFont="1" applyFill="1" applyBorder="1" applyAlignment="1">
      <alignment horizontal="right" vertical="top"/>
    </xf>
    <xf numFmtId="49" fontId="11" fillId="2" borderId="5" xfId="0" applyNumberFormat="1" applyFont="1" applyFill="1" applyBorder="1" applyAlignment="1">
      <alignment horizontal="right" vertical="top"/>
    </xf>
    <xf numFmtId="0" fontId="11" fillId="0" borderId="3" xfId="1" applyFont="1" applyBorder="1" applyAlignment="1">
      <alignment horizontal="left" wrapText="1"/>
    </xf>
    <xf numFmtId="0" fontId="11" fillId="0" borderId="4" xfId="1" applyFont="1" applyBorder="1" applyAlignment="1">
      <alignment horizontal="left" wrapText="1"/>
    </xf>
    <xf numFmtId="0" fontId="11" fillId="0" borderId="5" xfId="1" applyFont="1" applyBorder="1" applyAlignment="1">
      <alignment horizontal="left" wrapText="1"/>
    </xf>
    <xf numFmtId="0" fontId="11" fillId="0" borderId="3" xfId="1" applyFont="1" applyBorder="1" applyAlignment="1">
      <alignment horizontal="right" wrapText="1"/>
    </xf>
    <xf numFmtId="0" fontId="11" fillId="0" borderId="4" xfId="1" applyFont="1" applyBorder="1" applyAlignment="1">
      <alignment horizontal="right" wrapText="1"/>
    </xf>
    <xf numFmtId="0" fontId="11" fillId="0" borderId="5" xfId="1" applyFont="1" applyBorder="1" applyAlignment="1">
      <alignment horizontal="right" wrapText="1"/>
    </xf>
    <xf numFmtId="49" fontId="11" fillId="0" borderId="2" xfId="0" applyNumberFormat="1" applyFont="1" applyBorder="1" applyAlignment="1">
      <alignment horizontal="righ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/>
    </xf>
    <xf numFmtId="0" fontId="24" fillId="0" borderId="0" xfId="33" applyFont="1" applyAlignment="1">
      <alignment vertical="top" wrapText="1"/>
    </xf>
    <xf numFmtId="0" fontId="25" fillId="0" borderId="0" xfId="971" applyFont="1" applyBorder="1" applyAlignment="1">
      <alignment horizontal="right" wrapText="1"/>
    </xf>
    <xf numFmtId="0" fontId="25" fillId="0" borderId="2" xfId="33" applyFont="1" applyBorder="1" applyAlignment="1">
      <alignment horizontal="left" vertical="center" wrapText="1"/>
    </xf>
    <xf numFmtId="0" fontId="28" fillId="0" borderId="0" xfId="33" applyFont="1" applyAlignment="1">
      <alignment horizontal="center" wrapText="1"/>
    </xf>
    <xf numFmtId="0" fontId="20" fillId="0" borderId="2" xfId="33" applyFont="1" applyBorder="1" applyAlignment="1">
      <alignment horizontal="center" vertical="center" wrapText="1"/>
    </xf>
    <xf numFmtId="0" fontId="6" fillId="0" borderId="2" xfId="33" applyBorder="1" applyAlignment="1">
      <alignment horizontal="center" vertical="center" wrapText="1"/>
    </xf>
    <xf numFmtId="0" fontId="20" fillId="0" borderId="6" xfId="33" applyFont="1" applyBorder="1" applyAlignment="1">
      <alignment horizontal="center" vertical="center"/>
    </xf>
    <xf numFmtId="0" fontId="20" fillId="0" borderId="7" xfId="33" applyFont="1" applyBorder="1" applyAlignment="1">
      <alignment horizontal="center" vertical="center"/>
    </xf>
    <xf numFmtId="0" fontId="75" fillId="0" borderId="0" xfId="36" applyFont="1" applyAlignment="1">
      <alignment horizontal="left" wrapText="1"/>
    </xf>
    <xf numFmtId="0" fontId="73" fillId="0" borderId="0" xfId="33" applyFont="1" applyAlignment="1">
      <alignment horizontal="left" wrapText="1"/>
    </xf>
    <xf numFmtId="0" fontId="73" fillId="0" borderId="0" xfId="975" applyFont="1" applyAlignment="1">
      <alignment horizontal="left"/>
    </xf>
    <xf numFmtId="0" fontId="20" fillId="0" borderId="2" xfId="33" applyFont="1" applyBorder="1" applyAlignment="1">
      <alignment horizontal="center"/>
    </xf>
    <xf numFmtId="0" fontId="22" fillId="0" borderId="2" xfId="33" applyFont="1" applyFill="1" applyBorder="1" applyAlignment="1">
      <alignment horizontal="center" vertical="center" wrapText="1"/>
    </xf>
  </cellXfs>
  <cellStyles count="979">
    <cellStyle name=" 1" xfId="42"/>
    <cellStyle name=" 1 2" xfId="43"/>
    <cellStyle name=" 1 3" xfId="44"/>
    <cellStyle name="_2010 СТРУКТУРА СВОД" xfId="45"/>
    <cellStyle name="_2010 СТРУКТУРА-с зарпл." xfId="46"/>
    <cellStyle name="_4.1 и 5 Финпланы" xfId="47"/>
    <cellStyle name="_4.1 и 5 Финпланы (1)" xfId="48"/>
    <cellStyle name="_Copy of ДРСК_1" xfId="49"/>
    <cellStyle name="_ГКПЗ 09 по типам закупки" xfId="50"/>
    <cellStyle name="_ДРСК, ИПР 2010 Приложение 1свод" xfId="51"/>
    <cellStyle name="_Инвест-структура 2011 26.10.10" xfId="52"/>
    <cellStyle name="_Инвест-структура_ХЭС_22.10.2010" xfId="53"/>
    <cellStyle name="_Инвест-структура_ХЭС_29.10.2010" xfId="54"/>
    <cellStyle name="_ИПР 2011-2017  ХЭС  от 21.02.12" xfId="55"/>
    <cellStyle name="_ИПР 2011-2017 ХЭС  10.01.12 ПРАВИЛЬНЫЙ" xfId="56"/>
    <cellStyle name="_ИПР 2011-2017 ХЭС 16.12.11 на РАО" xfId="57"/>
    <cellStyle name="_ИПР 2012 ХЭС  12.01.12" xfId="58"/>
    <cellStyle name="_ИПР 2014-2018 ХЭС 06.12.12" xfId="59"/>
    <cellStyle name="_Книга2" xfId="60"/>
    <cellStyle name="_Книга4" xfId="61"/>
    <cellStyle name="_Лист1" xfId="62"/>
    <cellStyle name="_Лист2" xfId="63"/>
    <cellStyle name="_Модель Стратегия Ленэнерго_3" xfId="64"/>
    <cellStyle name="_Прил 14 ( 29 ноября)" xfId="65"/>
    <cellStyle name="_Прил 25а_ЕАО_25.12.2009" xfId="66"/>
    <cellStyle name="_Прил 25а_свод_02.11.2009" xfId="67"/>
    <cellStyle name="_Прил 4.1, 4.3 ИПР 2013-2017 24.01.12 СЕМЫКИН" xfId="68"/>
    <cellStyle name="_Прил 4_21.04.2009_СВОД" xfId="69"/>
    <cellStyle name="_Прил. 1.2, 2.2" xfId="70"/>
    <cellStyle name="_прил. 1.4" xfId="71"/>
    <cellStyle name="_Прил.1 Финансирование ИПР 2011-2013" xfId="72"/>
    <cellStyle name="_Прил.10 Отчет об исполнении  финплана 2009-2010" xfId="73"/>
    <cellStyle name="_Прил.4 Отчет об источниках финансирования ИПР 2009-2010 ХЭС" xfId="74"/>
    <cellStyle name="_Прил.9 Финплан 2011-2013" xfId="75"/>
    <cellStyle name="_Прилож. Л к регл. РАО ХЭС 28.11.11 1" xfId="76"/>
    <cellStyle name="_Приложение  2.2; 2.3 ИПР 2013 25.12.12" xfId="77"/>
    <cellStyle name="_Приложение 1 - ЮЯ 2010-2012 гг." xfId="78"/>
    <cellStyle name="_Приложение 1.2_ЮЯ" xfId="79"/>
    <cellStyle name="_Приложение 1.4 ИПР 2013г. ХЭС 21.12.12" xfId="80"/>
    <cellStyle name="_Приложение 14" xfId="81"/>
    <cellStyle name="_Приложение 14 ИПР 2013г. ХЭС 24.12.12" xfId="82"/>
    <cellStyle name="_Приложение 2 (3 вариант)" xfId="83"/>
    <cellStyle name="_Приложение 2 в формате Приложения 8" xfId="84"/>
    <cellStyle name="_Приложение 2 фин. модель ДРСК 01.03.2011 г." xfId="85"/>
    <cellStyle name="_Приложение 4 от 11.01.10" xfId="86"/>
    <cellStyle name="_Приложение 5 ИПР 2013-2017" xfId="87"/>
    <cellStyle name="_Приложение 6" xfId="88"/>
    <cellStyle name="_Приложение 6.1_ЕАО от Артура" xfId="89"/>
    <cellStyle name="_Приложение 7.1" xfId="90"/>
    <cellStyle name="_Приложение 8а" xfId="91"/>
    <cellStyle name="_Приложение №1" xfId="92"/>
    <cellStyle name="_Приложение Ж (инвест.стр-ра)" xfId="93"/>
    <cellStyle name="_Приложения  4.1 ОАО ДРСК,4.2 ХЭС" xfId="94"/>
    <cellStyle name="_Приложения 11 г. ХЭС 28.03.11 утв. Чудовым" xfId="95"/>
    <cellStyle name="_Приложения на Прав-во ХЭС 12.01.12" xfId="96"/>
    <cellStyle name="_Расчет стоимости 1км трубопровода" xfId="5"/>
    <cellStyle name="_таблица 14 ЕАО." xfId="97"/>
    <cellStyle name="_таблица 14 Перечень ИПР и план финансирования 2010г ЕАО." xfId="98"/>
    <cellStyle name="_Услуги ТПиР" xfId="99"/>
    <cellStyle name="_ф 2ГД - форма отчета ГД по закупкам (по видам закупок)" xfId="100"/>
    <cellStyle name="_Финплан ДРСК 2011-2013 17.02.10 Семыкин" xfId="101"/>
    <cellStyle name="_ЮЯ_РАО ЭСВ (1)" xfId="102"/>
    <cellStyle name="20% - Акцент1 2" xfId="103"/>
    <cellStyle name="20% - Акцент1 2 2" xfId="104"/>
    <cellStyle name="20% - Акцент1 2 2 2" xfId="105"/>
    <cellStyle name="20% - Акцент1 2 3" xfId="106"/>
    <cellStyle name="20% - Акцент1 3" xfId="107"/>
    <cellStyle name="20% - Акцент1 3 2" xfId="108"/>
    <cellStyle name="20% - Акцент1 3 2 2" xfId="109"/>
    <cellStyle name="20% - Акцент1 3 3" xfId="110"/>
    <cellStyle name="20% - Акцент1 4" xfId="111"/>
    <cellStyle name="20% - Акцент1 4 2" xfId="112"/>
    <cellStyle name="20% - Акцент2 2" xfId="113"/>
    <cellStyle name="20% - Акцент2 2 2" xfId="114"/>
    <cellStyle name="20% - Акцент2 2 2 2" xfId="115"/>
    <cellStyle name="20% - Акцент2 2 3" xfId="116"/>
    <cellStyle name="20% - Акцент2 3" xfId="117"/>
    <cellStyle name="20% - Акцент2 3 2" xfId="118"/>
    <cellStyle name="20% - Акцент2 3 2 2" xfId="119"/>
    <cellStyle name="20% - Акцент2 3 3" xfId="120"/>
    <cellStyle name="20% - Акцент2 4" xfId="121"/>
    <cellStyle name="20% - Акцент2 4 2" xfId="122"/>
    <cellStyle name="20% - Акцент3 2" xfId="123"/>
    <cellStyle name="20% - Акцент3 2 2" xfId="124"/>
    <cellStyle name="20% - Акцент3 2 2 2" xfId="125"/>
    <cellStyle name="20% - Акцент3 2 3" xfId="126"/>
    <cellStyle name="20% - Акцент3 3" xfId="127"/>
    <cellStyle name="20% - Акцент3 3 2" xfId="128"/>
    <cellStyle name="20% - Акцент3 3 2 2" xfId="129"/>
    <cellStyle name="20% - Акцент3 3 3" xfId="130"/>
    <cellStyle name="20% - Акцент3 4" xfId="131"/>
    <cellStyle name="20% - Акцент3 4 2" xfId="132"/>
    <cellStyle name="20% - Акцент4 2" xfId="133"/>
    <cellStyle name="20% - Акцент4 2 2" xfId="134"/>
    <cellStyle name="20% - Акцент4 2 2 2" xfId="135"/>
    <cellStyle name="20% - Акцент4 2 3" xfId="136"/>
    <cellStyle name="20% - Акцент4 3" xfId="137"/>
    <cellStyle name="20% - Акцент4 3 2" xfId="138"/>
    <cellStyle name="20% - Акцент4 3 2 2" xfId="139"/>
    <cellStyle name="20% - Акцент4 3 3" xfId="140"/>
    <cellStyle name="20% - Акцент4 4" xfId="141"/>
    <cellStyle name="20% - Акцент4 4 2" xfId="142"/>
    <cellStyle name="20% - Акцент5 2" xfId="143"/>
    <cellStyle name="20% - Акцент5 2 2" xfId="144"/>
    <cellStyle name="20% - Акцент5 2 2 2" xfId="145"/>
    <cellStyle name="20% - Акцент5 2 3" xfId="146"/>
    <cellStyle name="20% - Акцент5 3" xfId="147"/>
    <cellStyle name="20% - Акцент5 3 2" xfId="148"/>
    <cellStyle name="20% - Акцент6 2" xfId="149"/>
    <cellStyle name="20% - Акцент6 2 2" xfId="150"/>
    <cellStyle name="20% - Акцент6 2 2 2" xfId="151"/>
    <cellStyle name="20% - Акцент6 2 3" xfId="152"/>
    <cellStyle name="20% - Акцент6 3" xfId="153"/>
    <cellStyle name="20% - Акцент6 3 2" xfId="154"/>
    <cellStyle name="40% - Акцент1 2" xfId="155"/>
    <cellStyle name="40% - Акцент1 2 2" xfId="156"/>
    <cellStyle name="40% - Акцент1 2 2 2" xfId="157"/>
    <cellStyle name="40% - Акцент1 2 3" xfId="158"/>
    <cellStyle name="40% - Акцент1 3" xfId="159"/>
    <cellStyle name="40% - Акцент1 3 2" xfId="160"/>
    <cellStyle name="40% - Акцент1 3 2 2" xfId="161"/>
    <cellStyle name="40% - Акцент1 3 3" xfId="162"/>
    <cellStyle name="40% - Акцент1 4" xfId="163"/>
    <cellStyle name="40% - Акцент1 4 2" xfId="164"/>
    <cellStyle name="40% - Акцент2 2" xfId="165"/>
    <cellStyle name="40% - Акцент2 2 2" xfId="166"/>
    <cellStyle name="40% - Акцент2 2 2 2" xfId="167"/>
    <cellStyle name="40% - Акцент2 2 3" xfId="168"/>
    <cellStyle name="40% - Акцент2 3" xfId="169"/>
    <cellStyle name="40% - Акцент2 3 2" xfId="170"/>
    <cellStyle name="40% - Акцент3 2" xfId="171"/>
    <cellStyle name="40% - Акцент3 2 2" xfId="172"/>
    <cellStyle name="40% - Акцент3 2 2 2" xfId="173"/>
    <cellStyle name="40% - Акцент3 2 3" xfId="174"/>
    <cellStyle name="40% - Акцент3 3" xfId="175"/>
    <cellStyle name="40% - Акцент3 3 2" xfId="176"/>
    <cellStyle name="40% - Акцент3 3 2 2" xfId="177"/>
    <cellStyle name="40% - Акцент3 3 3" xfId="178"/>
    <cellStyle name="40% - Акцент3 4" xfId="179"/>
    <cellStyle name="40% - Акцент3 4 2" xfId="180"/>
    <cellStyle name="40% - Акцент4 2" xfId="181"/>
    <cellStyle name="40% - Акцент4 2 2" xfId="182"/>
    <cellStyle name="40% - Акцент4 2 2 2" xfId="183"/>
    <cellStyle name="40% - Акцент4 2 3" xfId="184"/>
    <cellStyle name="40% - Акцент4 3" xfId="185"/>
    <cellStyle name="40% - Акцент4 3 2" xfId="186"/>
    <cellStyle name="40% - Акцент4 3 2 2" xfId="187"/>
    <cellStyle name="40% - Акцент4 3 3" xfId="188"/>
    <cellStyle name="40% - Акцент4 4" xfId="189"/>
    <cellStyle name="40% - Акцент4 4 2" xfId="190"/>
    <cellStyle name="40% - Акцент5 2" xfId="191"/>
    <cellStyle name="40% - Акцент5 2 2" xfId="192"/>
    <cellStyle name="40% - Акцент5 2 2 2" xfId="193"/>
    <cellStyle name="40% - Акцент5 2 3" xfId="194"/>
    <cellStyle name="40% - Акцент5 3" xfId="195"/>
    <cellStyle name="40% - Акцент5 3 2" xfId="196"/>
    <cellStyle name="40% - Акцент6 2" xfId="197"/>
    <cellStyle name="40% - Акцент6 2 2" xfId="198"/>
    <cellStyle name="40% - Акцент6 2 2 2" xfId="199"/>
    <cellStyle name="40% - Акцент6 2 3" xfId="200"/>
    <cellStyle name="40% - Акцент6 3" xfId="201"/>
    <cellStyle name="40% - Акцент6 3 2" xfId="202"/>
    <cellStyle name="40% - Акцент6 3 2 2" xfId="203"/>
    <cellStyle name="40% - Акцент6 3 3" xfId="204"/>
    <cellStyle name="40% - Акцент6 4" xfId="205"/>
    <cellStyle name="40% - Акцент6 4 2" xfId="206"/>
    <cellStyle name="60% - Акцент1 2" xfId="207"/>
    <cellStyle name="60% - Акцент1 2 2" xfId="208"/>
    <cellStyle name="60% - Акцент1 2 2 2" xfId="209"/>
    <cellStyle name="60% - Акцент1 2 3" xfId="210"/>
    <cellStyle name="60% - Акцент1 3" xfId="211"/>
    <cellStyle name="60% - Акцент2 2" xfId="212"/>
    <cellStyle name="60% - Акцент2 2 2" xfId="213"/>
    <cellStyle name="60% - Акцент2 2 2 2" xfId="214"/>
    <cellStyle name="60% - Акцент2 2 3" xfId="215"/>
    <cellStyle name="60% - Акцент2 3" xfId="216"/>
    <cellStyle name="60% - Акцент3 2" xfId="217"/>
    <cellStyle name="60% - Акцент3 2 2" xfId="218"/>
    <cellStyle name="60% - Акцент3 2 2 2" xfId="219"/>
    <cellStyle name="60% - Акцент3 2 3" xfId="220"/>
    <cellStyle name="60% - Акцент3 3" xfId="221"/>
    <cellStyle name="60% - Акцент4 2" xfId="222"/>
    <cellStyle name="60% - Акцент4 2 2" xfId="223"/>
    <cellStyle name="60% - Акцент4 2 2 2" xfId="224"/>
    <cellStyle name="60% - Акцент4 2 3" xfId="225"/>
    <cellStyle name="60% - Акцент4 3" xfId="226"/>
    <cellStyle name="60% - Акцент5 2" xfId="227"/>
    <cellStyle name="60% - Акцент5 2 2" xfId="228"/>
    <cellStyle name="60% - Акцент5 2 2 2" xfId="229"/>
    <cellStyle name="60% - Акцент5 2 3" xfId="230"/>
    <cellStyle name="60% - Акцент5 3" xfId="231"/>
    <cellStyle name="60% - Акцент6 2" xfId="232"/>
    <cellStyle name="60% - Акцент6 2 2" xfId="233"/>
    <cellStyle name="60% - Акцент6 2 2 2" xfId="234"/>
    <cellStyle name="60% - Акцент6 2 3" xfId="235"/>
    <cellStyle name="60% - Акцент6 3" xfId="236"/>
    <cellStyle name="Assumption" xfId="237"/>
    <cellStyle name="Comma [0]" xfId="6"/>
    <cellStyle name="Comma_laroux" xfId="7"/>
    <cellStyle name="Currency [0]" xfId="8"/>
    <cellStyle name="Currency_laroux" xfId="9"/>
    <cellStyle name="Dates" xfId="238"/>
    <cellStyle name="E-mail" xfId="239"/>
    <cellStyle name="Heading" xfId="240"/>
    <cellStyle name="Heading2" xfId="241"/>
    <cellStyle name="Inputs" xfId="242"/>
    <cellStyle name="Normal_Attachement No.1" xfId="10"/>
    <cellStyle name="S1" xfId="11"/>
    <cellStyle name="Table Heading" xfId="243"/>
    <cellStyle name="TableStyleLight1" xfId="244"/>
    <cellStyle name="TableStyleLight1 2" xfId="245"/>
    <cellStyle name="TableStyleLight1 3" xfId="246"/>
    <cellStyle name="Telephone number" xfId="247"/>
    <cellStyle name="Акт" xfId="248"/>
    <cellStyle name="АктМТСН" xfId="249"/>
    <cellStyle name="Акцент1 2" xfId="250"/>
    <cellStyle name="Акцент1 2 2" xfId="251"/>
    <cellStyle name="Акцент1 2 2 2" xfId="252"/>
    <cellStyle name="Акцент1 2 3" xfId="253"/>
    <cellStyle name="Акцент1 3" xfId="254"/>
    <cellStyle name="Акцент2 2" xfId="255"/>
    <cellStyle name="Акцент2 2 2" xfId="256"/>
    <cellStyle name="Акцент2 2 2 2" xfId="257"/>
    <cellStyle name="Акцент2 2 3" xfId="258"/>
    <cellStyle name="Акцент2 3" xfId="259"/>
    <cellStyle name="Акцент3 2" xfId="260"/>
    <cellStyle name="Акцент3 2 2" xfId="261"/>
    <cellStyle name="Акцент3 2 2 2" xfId="262"/>
    <cellStyle name="Акцент3 2 3" xfId="263"/>
    <cellStyle name="Акцент3 3" xfId="264"/>
    <cellStyle name="Акцент4 2" xfId="265"/>
    <cellStyle name="Акцент4 2 2" xfId="266"/>
    <cellStyle name="Акцент4 2 2 2" xfId="267"/>
    <cellStyle name="Акцент4 2 3" xfId="268"/>
    <cellStyle name="Акцент4 3" xfId="269"/>
    <cellStyle name="Акцент5 2" xfId="270"/>
    <cellStyle name="Акцент5 2 2" xfId="271"/>
    <cellStyle name="Акцент5 2 2 2" xfId="272"/>
    <cellStyle name="Акцент5 2 3" xfId="273"/>
    <cellStyle name="Акцент5 3" xfId="274"/>
    <cellStyle name="Акцент6 2" xfId="275"/>
    <cellStyle name="Акцент6 2 2" xfId="276"/>
    <cellStyle name="Акцент6 2 2 2" xfId="277"/>
    <cellStyle name="Акцент6 2 3" xfId="278"/>
    <cellStyle name="Акцент6 3" xfId="279"/>
    <cellStyle name="Ввод  2" xfId="280"/>
    <cellStyle name="Ввод  2 2" xfId="281"/>
    <cellStyle name="Ввод  2 2 2" xfId="282"/>
    <cellStyle name="Ввод  2 2 2 2" xfId="283"/>
    <cellStyle name="Ввод  2 2 3" xfId="284"/>
    <cellStyle name="Ввод  2 3" xfId="285"/>
    <cellStyle name="Ввод  2 3 2" xfId="286"/>
    <cellStyle name="Ввод  2 3 3" xfId="287"/>
    <cellStyle name="Ввод  2 4" xfId="288"/>
    <cellStyle name="Ввод  2 5" xfId="289"/>
    <cellStyle name="Ввод  3" xfId="290"/>
    <cellStyle name="ВедРесурсов" xfId="291"/>
    <cellStyle name="ВедРесурсовАкт" xfId="292"/>
    <cellStyle name="Вывод 2" xfId="293"/>
    <cellStyle name="Вывод 2 2" xfId="294"/>
    <cellStyle name="Вывод 2 2 2" xfId="295"/>
    <cellStyle name="Вывод 2 2 2 2" xfId="296"/>
    <cellStyle name="Вывод 2 3" xfId="297"/>
    <cellStyle name="Вывод 2 3 2" xfId="298"/>
    <cellStyle name="Вывод 2 3 3" xfId="299"/>
    <cellStyle name="Вывод 2 4" xfId="300"/>
    <cellStyle name="Вывод 2 5" xfId="301"/>
    <cellStyle name="Вывод 3" xfId="302"/>
    <cellStyle name="Вывод 3 2" xfId="303"/>
    <cellStyle name="Вычисление 2" xfId="304"/>
    <cellStyle name="Вычисление 2 2" xfId="305"/>
    <cellStyle name="Вычисление 2 2 2" xfId="306"/>
    <cellStyle name="Вычисление 2 2 2 2" xfId="307"/>
    <cellStyle name="Вычисление 2 2 3" xfId="308"/>
    <cellStyle name="Вычисление 2 3" xfId="309"/>
    <cellStyle name="Вычисление 2 3 2" xfId="310"/>
    <cellStyle name="Вычисление 2 3 3" xfId="311"/>
    <cellStyle name="Вычисление 2 4" xfId="312"/>
    <cellStyle name="Вычисление 2 5" xfId="313"/>
    <cellStyle name="Вычисление 3" xfId="314"/>
    <cellStyle name="Вычисление 3 2" xfId="315"/>
    <cellStyle name="Денежный 2" xfId="12"/>
    <cellStyle name="Заголовок" xfId="316"/>
    <cellStyle name="Заголовок 1 2" xfId="317"/>
    <cellStyle name="Заголовок 1 2 2" xfId="318"/>
    <cellStyle name="Заголовок 1 2 3" xfId="319"/>
    <cellStyle name="Заголовок 1 3" xfId="320"/>
    <cellStyle name="Заголовок 2 2" xfId="321"/>
    <cellStyle name="Заголовок 2 2 2" xfId="322"/>
    <cellStyle name="Заголовок 2 2 3" xfId="323"/>
    <cellStyle name="Заголовок 2 3" xfId="324"/>
    <cellStyle name="Заголовок 3 2" xfId="325"/>
    <cellStyle name="Заголовок 3 2 2" xfId="326"/>
    <cellStyle name="Заголовок 3 2 3" xfId="327"/>
    <cellStyle name="Заголовок 3 3" xfId="328"/>
    <cellStyle name="Заголовок 4 2" xfId="329"/>
    <cellStyle name="Заголовок 4 2 2" xfId="330"/>
    <cellStyle name="Заголовок 4 2 3" xfId="331"/>
    <cellStyle name="Заголовок 4 3" xfId="332"/>
    <cellStyle name="ЗаголовокСтолбца" xfId="333"/>
    <cellStyle name="Значение" xfId="334"/>
    <cellStyle name="Значение 2" xfId="335"/>
    <cellStyle name="Значение 2 2" xfId="336"/>
    <cellStyle name="Значение 3" xfId="337"/>
    <cellStyle name="Индексы" xfId="338"/>
    <cellStyle name="Итог 2" xfId="339"/>
    <cellStyle name="Итог 2 2" xfId="340"/>
    <cellStyle name="Итог 2 2 2" xfId="341"/>
    <cellStyle name="Итог 2 2 2 2" xfId="342"/>
    <cellStyle name="Итог 2 2 3" xfId="343"/>
    <cellStyle name="Итог 2 3" xfId="344"/>
    <cellStyle name="Итог 2 3 2" xfId="345"/>
    <cellStyle name="Итог 2 4" xfId="346"/>
    <cellStyle name="Итог 2 5" xfId="347"/>
    <cellStyle name="Итог 3" xfId="348"/>
    <cellStyle name="Итог 3 2" xfId="349"/>
    <cellStyle name="Итоги" xfId="13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2 2" xfId="358"/>
    <cellStyle name="Контрольная ячейка 2 3" xfId="359"/>
    <cellStyle name="Контрольная ячейка 3" xfId="360"/>
    <cellStyle name="ЛокСмета" xfId="14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2 2" xfId="369"/>
    <cellStyle name="Нейтральный 2 3" xfId="370"/>
    <cellStyle name="Нейтральный 3" xfId="371"/>
    <cellStyle name="ОбСмета" xfId="372"/>
    <cellStyle name="Обычный" xfId="0" builtinId="0"/>
    <cellStyle name="Обычный 10" xfId="373"/>
    <cellStyle name="Обычный 10 2" xfId="374"/>
    <cellStyle name="Обычный 10 2 2" xfId="375"/>
    <cellStyle name="Обычный 10 2 2 2" xfId="376"/>
    <cellStyle name="Обычный 10 2 2 2 2" xfId="377"/>
    <cellStyle name="Обычный 10 2 2 2 2 2" xfId="378"/>
    <cellStyle name="Обычный 10 2 2 2 2 3" xfId="379"/>
    <cellStyle name="Обычный 10 2 2 2 3" xfId="380"/>
    <cellStyle name="Обычный 10 2 2 2 3 2" xfId="381"/>
    <cellStyle name="Обычный 10 2 2 2 3 3" xfId="382"/>
    <cellStyle name="Обычный 10 2 2 2 4" xfId="383"/>
    <cellStyle name="Обычный 10 2 2 2 5" xfId="384"/>
    <cellStyle name="Обычный 10 2 2 3" xfId="385"/>
    <cellStyle name="Обычный 10 2 2 3 2" xfId="386"/>
    <cellStyle name="Обычный 10 2 2 3 3" xfId="387"/>
    <cellStyle name="Обычный 10 2 2 4" xfId="388"/>
    <cellStyle name="Обычный 10 2 2 4 2" xfId="389"/>
    <cellStyle name="Обычный 10 2 2 4 3" xfId="390"/>
    <cellStyle name="Обычный 10 2 2 5" xfId="391"/>
    <cellStyle name="Обычный 10 2 2 6" xfId="392"/>
    <cellStyle name="Обычный 10 2 3" xfId="393"/>
    <cellStyle name="Обычный 10 2 3 2" xfId="394"/>
    <cellStyle name="Обычный 10 2 3 2 2" xfId="395"/>
    <cellStyle name="Обычный 10 2 3 2 3" xfId="396"/>
    <cellStyle name="Обычный 10 2 3 3" xfId="397"/>
    <cellStyle name="Обычный 10 2 3 3 2" xfId="398"/>
    <cellStyle name="Обычный 10 2 3 3 3" xfId="399"/>
    <cellStyle name="Обычный 10 2 3 4" xfId="400"/>
    <cellStyle name="Обычный 10 2 3 5" xfId="401"/>
    <cellStyle name="Обычный 10 2 4" xfId="402"/>
    <cellStyle name="Обычный 10 2 5" xfId="403"/>
    <cellStyle name="Обычный 10 2 5 2" xfId="404"/>
    <cellStyle name="Обычный 10 2 5 3" xfId="405"/>
    <cellStyle name="Обычный 10 3" xfId="406"/>
    <cellStyle name="Обычный 10 3 2" xfId="407"/>
    <cellStyle name="Обычный 10 3 2 2" xfId="408"/>
    <cellStyle name="Обычный 10 3 2 2 2" xfId="409"/>
    <cellStyle name="Обычный 10 3 2 2 3" xfId="410"/>
    <cellStyle name="Обычный 10 3 2 3" xfId="411"/>
    <cellStyle name="Обычный 10 3 2 3 2" xfId="412"/>
    <cellStyle name="Обычный 10 3 2 3 3" xfId="413"/>
    <cellStyle name="Обычный 10 3 2 4" xfId="414"/>
    <cellStyle name="Обычный 10 3 2 5" xfId="415"/>
    <cellStyle name="Обычный 10 3 3" xfId="416"/>
    <cellStyle name="Обычный 10 3 4" xfId="417"/>
    <cellStyle name="Обычный 10 3 4 2" xfId="418"/>
    <cellStyle name="Обычный 10 3 4 3" xfId="419"/>
    <cellStyle name="Обычный 10 3 5" xfId="420"/>
    <cellStyle name="Обычный 10 3 5 2" xfId="421"/>
    <cellStyle name="Обычный 10 3 5 3" xfId="422"/>
    <cellStyle name="Обычный 10 3 6" xfId="423"/>
    <cellStyle name="Обычный 10 3 7" xfId="424"/>
    <cellStyle name="Обычный 10 4" xfId="425"/>
    <cellStyle name="Обычный 10 4 2" xfId="426"/>
    <cellStyle name="Обычный 10 4 2 2" xfId="427"/>
    <cellStyle name="Обычный 10 4 2 3" xfId="428"/>
    <cellStyle name="Обычный 10 4 3" xfId="429"/>
    <cellStyle name="Обычный 10 4 3 2" xfId="430"/>
    <cellStyle name="Обычный 10 4 3 3" xfId="431"/>
    <cellStyle name="Обычный 10 4 4" xfId="432"/>
    <cellStyle name="Обычный 10 4 5" xfId="433"/>
    <cellStyle name="Обычный 11" xfId="434"/>
    <cellStyle name="Обычный 11 2" xfId="435"/>
    <cellStyle name="Обычный 11 3" xfId="436"/>
    <cellStyle name="Обычный 11 3 2" xfId="437"/>
    <cellStyle name="Обычный 11 3 2 2" xfId="438"/>
    <cellStyle name="Обычный 11 3 2 3" xfId="439"/>
    <cellStyle name="Обычный 11 3 3" xfId="440"/>
    <cellStyle name="Обычный 11 3 3 2" xfId="441"/>
    <cellStyle name="Обычный 11 3 3 3" xfId="442"/>
    <cellStyle name="Обычный 11 3 4" xfId="443"/>
    <cellStyle name="Обычный 11 3 4 2" xfId="444"/>
    <cellStyle name="Обычный 11 3 4 3" xfId="445"/>
    <cellStyle name="Обычный 11 3 5" xfId="446"/>
    <cellStyle name="Обычный 11 3 6" xfId="447"/>
    <cellStyle name="Обычный 11 4" xfId="448"/>
    <cellStyle name="Обычный 11 4 2" xfId="449"/>
    <cellStyle name="Обычный 12" xfId="450"/>
    <cellStyle name="Обычный 12 2" xfId="35"/>
    <cellStyle name="Обычный 12 3" xfId="451"/>
    <cellStyle name="Обычный 12 3 2" xfId="452"/>
    <cellStyle name="Обычный 12 4" xfId="453"/>
    <cellStyle name="Обычный 12 5" xfId="454"/>
    <cellStyle name="Обычный 12 5 2" xfId="455"/>
    <cellStyle name="Обычный 12 5 2 2" xfId="456"/>
    <cellStyle name="Обычный 12 5 2 3" xfId="457"/>
    <cellStyle name="Обычный 12 5 3" xfId="458"/>
    <cellStyle name="Обычный 12 5 4" xfId="459"/>
    <cellStyle name="Обычный 12 6" xfId="460"/>
    <cellStyle name="Обычный 12 6 2" xfId="461"/>
    <cellStyle name="Обычный 12 6 3" xfId="462"/>
    <cellStyle name="Обычный 12 7" xfId="463"/>
    <cellStyle name="Обычный 12 7 2" xfId="464"/>
    <cellStyle name="Обычный 12 7 3" xfId="465"/>
    <cellStyle name="Обычный 12 8" xfId="466"/>
    <cellStyle name="Обычный 12 9" xfId="467"/>
    <cellStyle name="Обычный 13" xfId="468"/>
    <cellStyle name="Обычный 13 2" xfId="469"/>
    <cellStyle name="Обычный 13 3" xfId="470"/>
    <cellStyle name="Обычный 14" xfId="471"/>
    <cellStyle name="Обычный 14 2" xfId="472"/>
    <cellStyle name="Обычный 15" xfId="473"/>
    <cellStyle name="Обычный 15 2" xfId="474"/>
    <cellStyle name="Обычный 15 3" xfId="475"/>
    <cellStyle name="Обычный 15 4" xfId="476"/>
    <cellStyle name="Обычный 15 4 2" xfId="477"/>
    <cellStyle name="Обычный 16" xfId="478"/>
    <cellStyle name="Обычный 17" xfId="479"/>
    <cellStyle name="Обычный 17 2" xfId="480"/>
    <cellStyle name="Обычный 18" xfId="481"/>
    <cellStyle name="Обычный 18 2" xfId="482"/>
    <cellStyle name="Обычный 18 3" xfId="483"/>
    <cellStyle name="Обычный 19" xfId="484"/>
    <cellStyle name="Обычный 19 2" xfId="485"/>
    <cellStyle name="Обычный 2" xfId="1"/>
    <cellStyle name="Обычный 2 10" xfId="486"/>
    <cellStyle name="Обычный 2 2" xfId="15"/>
    <cellStyle name="Обычный 2 2 2" xfId="487"/>
    <cellStyle name="Обычный 2 2 2 2" xfId="488"/>
    <cellStyle name="Обычный 2 2 2 2 2" xfId="489"/>
    <cellStyle name="Обычный 2 2 2 3" xfId="490"/>
    <cellStyle name="Обычный 2 2 3" xfId="491"/>
    <cellStyle name="Обычный 2 3" xfId="4"/>
    <cellStyle name="Обычный 2 3 2" xfId="492"/>
    <cellStyle name="Обычный 2 3 3" xfId="493"/>
    <cellStyle name="Обычный 2 3_к селектору 26 06 13 (ИПР ПЭС) рабочий (2)" xfId="494"/>
    <cellStyle name="Обычный 2 4" xfId="33"/>
    <cellStyle name="Обычный 2 4 2" xfId="495"/>
    <cellStyle name="Обычный 2 4 2 2" xfId="496"/>
    <cellStyle name="Обычный 2 4 2 2 2" xfId="497"/>
    <cellStyle name="Обычный 2 4 2 2 3" xfId="498"/>
    <cellStyle name="Обычный 2 4 2 3" xfId="499"/>
    <cellStyle name="Обычный 2 4 2 4" xfId="500"/>
    <cellStyle name="Обычный 2 4 3" xfId="973"/>
    <cellStyle name="Обычный 2 5" xfId="501"/>
    <cellStyle name="Обычный 2 5 2" xfId="502"/>
    <cellStyle name="Обычный 2 5 2 2" xfId="503"/>
    <cellStyle name="Обычный 2 5 2 2 2" xfId="504"/>
    <cellStyle name="Обычный 2 5 2 2 2 2" xfId="505"/>
    <cellStyle name="Обычный 2 5 2 2 2 3" xfId="506"/>
    <cellStyle name="Обычный 2 5 2 2 3" xfId="507"/>
    <cellStyle name="Обычный 2 5 2 2 4" xfId="508"/>
    <cellStyle name="Обычный 2 5 2 3" xfId="509"/>
    <cellStyle name="Обычный 2 5 2 3 2" xfId="510"/>
    <cellStyle name="Обычный 2 5 2 3 3" xfId="511"/>
    <cellStyle name="Обычный 2 5 2 4" xfId="512"/>
    <cellStyle name="Обычный 2 5 2 5" xfId="513"/>
    <cellStyle name="Обычный 2 5 3" xfId="514"/>
    <cellStyle name="Обычный 2 5 3 2" xfId="515"/>
    <cellStyle name="Обычный 2 5 3 2 2" xfId="516"/>
    <cellStyle name="Обычный 2 5 3 2 3" xfId="517"/>
    <cellStyle name="Обычный 2 5 3 3" xfId="518"/>
    <cellStyle name="Обычный 2 5 3 4" xfId="519"/>
    <cellStyle name="Обычный 2 5 4" xfId="520"/>
    <cellStyle name="Обычный 2 5 4 2" xfId="521"/>
    <cellStyle name="Обычный 2 5 4 3" xfId="522"/>
    <cellStyle name="Обычный 2 5 5" xfId="523"/>
    <cellStyle name="Обычный 2 5 5 2" xfId="524"/>
    <cellStyle name="Обычный 2 5 5 3" xfId="525"/>
    <cellStyle name="Обычный 2 5 6" xfId="526"/>
    <cellStyle name="Обычный 2 5 7" xfId="527"/>
    <cellStyle name="Обычный 2_к селектору 26 06 13 (ИПР ПЭС) рабочий (2)" xfId="528"/>
    <cellStyle name="Обычный 20" xfId="529"/>
    <cellStyle name="Обычный 20 2" xfId="530"/>
    <cellStyle name="Обычный 21" xfId="531"/>
    <cellStyle name="Обычный 22" xfId="532"/>
    <cellStyle name="Обычный 23" xfId="533"/>
    <cellStyle name="Обычный 23 2" xfId="534"/>
    <cellStyle name="Обычный 24" xfId="535"/>
    <cellStyle name="Обычный 24 2" xfId="536"/>
    <cellStyle name="Обычный 24 2 2" xfId="537"/>
    <cellStyle name="Обычный 24 2 3" xfId="538"/>
    <cellStyle name="Обычный 24 2 3 2" xfId="539"/>
    <cellStyle name="Обычный 24 2 3 3" xfId="540"/>
    <cellStyle name="Обычный 24 2 4" xfId="541"/>
    <cellStyle name="Обычный 24 2 5" xfId="542"/>
    <cellStyle name="Обычный 24 3" xfId="543"/>
    <cellStyle name="Обычный 24 4" xfId="544"/>
    <cellStyle name="Обычный 25" xfId="545"/>
    <cellStyle name="Обычный 25 2" xfId="546"/>
    <cellStyle name="Обычный 25 2 2" xfId="547"/>
    <cellStyle name="Обычный 25 2 2 2" xfId="548"/>
    <cellStyle name="Обычный 25 2 2 2 2" xfId="549"/>
    <cellStyle name="Обычный 25 2 2 2 3" xfId="550"/>
    <cellStyle name="Обычный 25 2 2 3" xfId="551"/>
    <cellStyle name="Обычный 25 2 2 4" xfId="552"/>
    <cellStyle name="Обычный 25 3" xfId="553"/>
    <cellStyle name="Обычный 25 4" xfId="554"/>
    <cellStyle name="Обычный 26" xfId="555"/>
    <cellStyle name="Обычный 26 2" xfId="556"/>
    <cellStyle name="Обычный 26 3" xfId="557"/>
    <cellStyle name="Обычный 27" xfId="558"/>
    <cellStyle name="Обычный 27 2" xfId="559"/>
    <cellStyle name="Обычный 27 3" xfId="560"/>
    <cellStyle name="Обычный 28" xfId="561"/>
    <cellStyle name="Обычный 28 2" xfId="562"/>
    <cellStyle name="Обычный 28 3" xfId="563"/>
    <cellStyle name="Обычный 29" xfId="564"/>
    <cellStyle name="Обычный 29 2" xfId="565"/>
    <cellStyle name="Обычный 29 3" xfId="566"/>
    <cellStyle name="Обычный 3" xfId="2"/>
    <cellStyle name="Обычный 3 2" xfId="17"/>
    <cellStyle name="Обычный 3 2 2" xfId="18"/>
    <cellStyle name="Обычный 3 2 2 2" xfId="36"/>
    <cellStyle name="Обычный 3 2 2 3" xfId="567"/>
    <cellStyle name="Обычный 3 2 2 4" xfId="978"/>
    <cellStyle name="Обычный 3 2 3" xfId="568"/>
    <cellStyle name="Обычный 3 2 4" xfId="569"/>
    <cellStyle name="Обычный 3 2 5" xfId="966"/>
    <cellStyle name="Обычный 3 2 5 2" xfId="977"/>
    <cellStyle name="Обычный 3 3" xfId="19"/>
    <cellStyle name="Обычный 3 3 2" xfId="570"/>
    <cellStyle name="Обычный 3 3 3" xfId="571"/>
    <cellStyle name="Обычный 3 3 4" xfId="975"/>
    <cellStyle name="Обычный 3 4" xfId="20"/>
    <cellStyle name="Обычный 3 5" xfId="21"/>
    <cellStyle name="Обычный 3 5 2" xfId="22"/>
    <cellStyle name="Обычный 3 5 2 2" xfId="971"/>
    <cellStyle name="Обычный 3 5 2 2 2" xfId="974"/>
    <cellStyle name="Обычный 3 5 3" xfId="976"/>
    <cellStyle name="Обычный 3 6" xfId="16"/>
    <cellStyle name="Обычный 3 7" xfId="41"/>
    <cellStyle name="Обычный 3 8" xfId="972"/>
    <cellStyle name="Обычный 3_ДИПР 2014-2018 (прил 1.1,1.2,1.3,2.2,2.3, 6.1.,6.2,6.3)" xfId="572"/>
    <cellStyle name="Обычный 30" xfId="573"/>
    <cellStyle name="Обычный 31" xfId="574"/>
    <cellStyle name="Обычный 32" xfId="575"/>
    <cellStyle name="Обычный 33" xfId="967"/>
    <cellStyle name="Обычный 34" xfId="968"/>
    <cellStyle name="Обычный 35" xfId="969"/>
    <cellStyle name="Обычный 35 2" xfId="970"/>
    <cellStyle name="Обычный 4" xfId="3"/>
    <cellStyle name="Обычный 4 2" xfId="576"/>
    <cellStyle name="Обычный 4 2 2" xfId="577"/>
    <cellStyle name="Обычный 4 3" xfId="578"/>
    <cellStyle name="Обычный 4 3 2" xfId="579"/>
    <cellStyle name="Обычный 4 3 2 2" xfId="580"/>
    <cellStyle name="Обычный 4 3 2 2 2" xfId="581"/>
    <cellStyle name="Обычный 4 3 2 2 2 2" xfId="582"/>
    <cellStyle name="Обычный 4 3 2 2 2 2 2" xfId="583"/>
    <cellStyle name="Обычный 4 3 2 2 2 2 3" xfId="584"/>
    <cellStyle name="Обычный 4 3 2 2 2 3" xfId="585"/>
    <cellStyle name="Обычный 4 3 2 2 2 3 2" xfId="586"/>
    <cellStyle name="Обычный 4 3 2 2 2 3 3" xfId="587"/>
    <cellStyle name="Обычный 4 3 2 2 2 4" xfId="588"/>
    <cellStyle name="Обычный 4 3 2 2 2 5" xfId="589"/>
    <cellStyle name="Обычный 4 3 2 2 3" xfId="590"/>
    <cellStyle name="Обычный 4 3 2 2 3 2" xfId="591"/>
    <cellStyle name="Обычный 4 3 2 2 3 3" xfId="592"/>
    <cellStyle name="Обычный 4 3 2 2 4" xfId="593"/>
    <cellStyle name="Обычный 4 3 2 2 4 2" xfId="594"/>
    <cellStyle name="Обычный 4 3 2 2 4 3" xfId="595"/>
    <cellStyle name="Обычный 4 3 2 2 5" xfId="596"/>
    <cellStyle name="Обычный 4 3 2 2 6" xfId="597"/>
    <cellStyle name="Обычный 4 3 2 3" xfId="598"/>
    <cellStyle name="Обычный 4 3 2 3 2" xfId="599"/>
    <cellStyle name="Обычный 4 3 2 3 2 2" xfId="600"/>
    <cellStyle name="Обычный 4 3 2 3 2 3" xfId="601"/>
    <cellStyle name="Обычный 4 3 2 3 3" xfId="602"/>
    <cellStyle name="Обычный 4 3 2 3 3 2" xfId="603"/>
    <cellStyle name="Обычный 4 3 2 3 3 3" xfId="604"/>
    <cellStyle name="Обычный 4 3 2 3 4" xfId="605"/>
    <cellStyle name="Обычный 4 3 2 3 5" xfId="606"/>
    <cellStyle name="Обычный 4 3 2 4" xfId="607"/>
    <cellStyle name="Обычный 4 3 2 4 2" xfId="608"/>
    <cellStyle name="Обычный 4 3 2 4 3" xfId="609"/>
    <cellStyle name="Обычный 4 3 2 5" xfId="610"/>
    <cellStyle name="Обычный 4 3 2 5 2" xfId="611"/>
    <cellStyle name="Обычный 4 3 2 5 3" xfId="612"/>
    <cellStyle name="Обычный 4 3 2 6" xfId="613"/>
    <cellStyle name="Обычный 4 3 2 7" xfId="614"/>
    <cellStyle name="Обычный 4 3 3" xfId="615"/>
    <cellStyle name="Обычный 4 3 3 2" xfId="616"/>
    <cellStyle name="Обычный 4 3 3 2 2" xfId="617"/>
    <cellStyle name="Обычный 4 3 3 2 2 2" xfId="618"/>
    <cellStyle name="Обычный 4 3 3 2 2 3" xfId="619"/>
    <cellStyle name="Обычный 4 3 3 2 3" xfId="620"/>
    <cellStyle name="Обычный 4 3 3 2 3 2" xfId="621"/>
    <cellStyle name="Обычный 4 3 3 2 3 3" xfId="622"/>
    <cellStyle name="Обычный 4 3 3 2 4" xfId="623"/>
    <cellStyle name="Обычный 4 3 3 2 5" xfId="624"/>
    <cellStyle name="Обычный 4 3 3 3" xfId="625"/>
    <cellStyle name="Обычный 4 3 3 3 2" xfId="626"/>
    <cellStyle name="Обычный 4 3 3 3 3" xfId="627"/>
    <cellStyle name="Обычный 4 3 3 4" xfId="628"/>
    <cellStyle name="Обычный 4 3 3 4 2" xfId="629"/>
    <cellStyle name="Обычный 4 3 3 4 3" xfId="630"/>
    <cellStyle name="Обычный 4 3 3 5" xfId="631"/>
    <cellStyle name="Обычный 4 3 3 6" xfId="632"/>
    <cellStyle name="Обычный 4 3 4" xfId="633"/>
    <cellStyle name="Обычный 4 3 4 2" xfId="634"/>
    <cellStyle name="Обычный 4 3 4 2 2" xfId="635"/>
    <cellStyle name="Обычный 4 3 4 2 3" xfId="636"/>
    <cellStyle name="Обычный 4 3 4 3" xfId="637"/>
    <cellStyle name="Обычный 4 3 4 3 2" xfId="638"/>
    <cellStyle name="Обычный 4 3 4 3 3" xfId="639"/>
    <cellStyle name="Обычный 4 3 4 4" xfId="640"/>
    <cellStyle name="Обычный 4 3 4 5" xfId="641"/>
    <cellStyle name="Обычный 4 3 5" xfId="642"/>
    <cellStyle name="Обычный 4 3 5 2" xfId="643"/>
    <cellStyle name="Обычный 4 3 5 3" xfId="644"/>
    <cellStyle name="Обычный 4 3 6" xfId="645"/>
    <cellStyle name="Обычный 4 3 6 2" xfId="646"/>
    <cellStyle name="Обычный 4 3 6 3" xfId="647"/>
    <cellStyle name="Обычный 4 3 7" xfId="648"/>
    <cellStyle name="Обычный 4 3 8" xfId="649"/>
    <cellStyle name="Обычный 4 4" xfId="650"/>
    <cellStyle name="Обычный 4 4 2" xfId="651"/>
    <cellStyle name="Обычный 4 4 3" xfId="652"/>
    <cellStyle name="Обычный 4 5" xfId="653"/>
    <cellStyle name="Обычный 4 6" xfId="654"/>
    <cellStyle name="Обычный 4 7" xfId="655"/>
    <cellStyle name="Обычный 5" xfId="23"/>
    <cellStyle name="Обычный 5 2" xfId="656"/>
    <cellStyle name="Обычный 5 2 2" xfId="657"/>
    <cellStyle name="Обычный 5 3" xfId="658"/>
    <cellStyle name="Обычный 5 3 2" xfId="659"/>
    <cellStyle name="Обычный 5 3 3" xfId="660"/>
    <cellStyle name="Обычный 5 4" xfId="661"/>
    <cellStyle name="Обычный 5 4 2" xfId="662"/>
    <cellStyle name="Обычный 5 4 2 2" xfId="663"/>
    <cellStyle name="Обычный 5 4 2 3" xfId="664"/>
    <cellStyle name="Обычный 5 4 3" xfId="665"/>
    <cellStyle name="Обычный 5 4 3 2" xfId="666"/>
    <cellStyle name="Обычный 5 4 3 3" xfId="667"/>
    <cellStyle name="Обычный 5 4 4" xfId="668"/>
    <cellStyle name="Обычный 5 4 5" xfId="669"/>
    <cellStyle name="Обычный 5_Все прил 2012-2017 (коррект ПР) ЕАО" xfId="670"/>
    <cellStyle name="Обычный 6" xfId="34"/>
    <cellStyle name="Обычный 6 2" xfId="37"/>
    <cellStyle name="Обычный 6 2 2" xfId="671"/>
    <cellStyle name="Обычный 6 2 2 2" xfId="672"/>
    <cellStyle name="Обычный 6 2 2 2 2" xfId="673"/>
    <cellStyle name="Обычный 6 2 2 2 2 2" xfId="674"/>
    <cellStyle name="Обычный 6 2 2 2 2 3" xfId="675"/>
    <cellStyle name="Обычный 6 2 2 2 3" xfId="676"/>
    <cellStyle name="Обычный 6 2 2 2 3 2" xfId="677"/>
    <cellStyle name="Обычный 6 2 2 2 3 3" xfId="678"/>
    <cellStyle name="Обычный 6 2 2 3" xfId="679"/>
    <cellStyle name="Обычный 6 2 2 3 2" xfId="680"/>
    <cellStyle name="Обычный 6 2 2 3 3" xfId="681"/>
    <cellStyle name="Обычный 6 2 2 4" xfId="682"/>
    <cellStyle name="Обычный 6 2 2 4 2" xfId="683"/>
    <cellStyle name="Обычный 6 2 2 4 3" xfId="684"/>
    <cellStyle name="Обычный 6 2 2 5" xfId="685"/>
    <cellStyle name="Обычный 6 2 2 6" xfId="686"/>
    <cellStyle name="Обычный 6 2 2 7" xfId="687"/>
    <cellStyle name="Обычный 6 2 3" xfId="688"/>
    <cellStyle name="Обычный 6 2 4" xfId="689"/>
    <cellStyle name="Обычный 6 2 4 2" xfId="690"/>
    <cellStyle name="Обычный 6 2 4 3" xfId="691"/>
    <cellStyle name="Обычный 6 2 5" xfId="692"/>
    <cellStyle name="Обычный 6 2 6" xfId="693"/>
    <cellStyle name="Обычный 6 2 7" xfId="694"/>
    <cellStyle name="Обычный 6 3" xfId="695"/>
    <cellStyle name="Обычный 6 3 2" xfId="696"/>
    <cellStyle name="Обычный 6 4" xfId="697"/>
    <cellStyle name="Обычный 6 5" xfId="698"/>
    <cellStyle name="Обычный 6 6" xfId="699"/>
    <cellStyle name="Обычный 6 6 2" xfId="700"/>
    <cellStyle name="Обычный 6 6 3" xfId="701"/>
    <cellStyle name="Обычный 6 7" xfId="702"/>
    <cellStyle name="Обычный 6 8" xfId="703"/>
    <cellStyle name="Обычный 6 9" xfId="704"/>
    <cellStyle name="Обычный 7" xfId="38"/>
    <cellStyle name="Обычный 7 2" xfId="705"/>
    <cellStyle name="Обычный 7 2 2" xfId="706"/>
    <cellStyle name="Обычный 7 2 2 2" xfId="707"/>
    <cellStyle name="Обычный 7 2 2 2 2" xfId="708"/>
    <cellStyle name="Обычный 7 2 2 2 2 2" xfId="709"/>
    <cellStyle name="Обычный 7 2 2 2 2 3" xfId="710"/>
    <cellStyle name="Обычный 7 2 2 2 2 4" xfId="711"/>
    <cellStyle name="Обычный 7 2 2 2 3" xfId="712"/>
    <cellStyle name="Обычный 7 2 2 2 4" xfId="713"/>
    <cellStyle name="Обычный 7 2 2 3" xfId="714"/>
    <cellStyle name="Обычный 7 2 2 3 2" xfId="715"/>
    <cellStyle name="Обычный 7 2 2 3 3" xfId="716"/>
    <cellStyle name="Обычный 7 2 2 4" xfId="717"/>
    <cellStyle name="Обычный 7 2 2 4 2" xfId="718"/>
    <cellStyle name="Обычный 7 2 2 4 3" xfId="719"/>
    <cellStyle name="Обычный 7 2 2 5" xfId="720"/>
    <cellStyle name="Обычный 7 2 2 6" xfId="721"/>
    <cellStyle name="Обычный 7 2 3" xfId="722"/>
    <cellStyle name="Обычный 7 3" xfId="723"/>
    <cellStyle name="Обычный 7 3 2" xfId="724"/>
    <cellStyle name="Обычный 7 4" xfId="725"/>
    <cellStyle name="Обычный 7 5" xfId="726"/>
    <cellStyle name="Обычный 7 6" xfId="727"/>
    <cellStyle name="Обычный 7 6 2" xfId="728"/>
    <cellStyle name="Обычный 7 6 3" xfId="729"/>
    <cellStyle name="Обычный 8" xfId="40"/>
    <cellStyle name="Обычный 8 2" xfId="730"/>
    <cellStyle name="Обычный 8 2 2" xfId="731"/>
    <cellStyle name="Обычный 8 28" xfId="732"/>
    <cellStyle name="Обычный 8 28 2" xfId="733"/>
    <cellStyle name="Обычный 8 3" xfId="734"/>
    <cellStyle name="Обычный 8_Прил 6.1, 6,2, 6,3 факт ЕИ" xfId="735"/>
    <cellStyle name="Обычный 9" xfId="736"/>
    <cellStyle name="Обычный 9 2" xfId="737"/>
    <cellStyle name="Обычный 9 2 2" xfId="738"/>
    <cellStyle name="Обычный 9 2 2 2" xfId="739"/>
    <cellStyle name="Обычный 9 2 2 2 2" xfId="740"/>
    <cellStyle name="Обычный 9 2 2 2 2 2" xfId="741"/>
    <cellStyle name="Обычный 9 2 2 2 2 3" xfId="742"/>
    <cellStyle name="Обычный 9 2 2 2 3" xfId="743"/>
    <cellStyle name="Обычный 9 2 2 2 4" xfId="744"/>
    <cellStyle name="Обычный 9 2 2 3" xfId="745"/>
    <cellStyle name="Обычный 9 2 2 3 2" xfId="746"/>
    <cellStyle name="Обычный 9 2 2 3 3" xfId="747"/>
    <cellStyle name="Обычный 9 2 2 4" xfId="748"/>
    <cellStyle name="Обычный 9 2 2 5" xfId="749"/>
    <cellStyle name="Обычный 9 2 3" xfId="750"/>
    <cellStyle name="Обычный 9 2 3 2" xfId="751"/>
    <cellStyle name="Обычный 9 2 3 2 2" xfId="752"/>
    <cellStyle name="Обычный 9 2 3 2 3" xfId="753"/>
    <cellStyle name="Обычный 9 2 3 3" xfId="754"/>
    <cellStyle name="Обычный 9 2 3 4" xfId="755"/>
    <cellStyle name="Обычный 9 3" xfId="756"/>
    <cellStyle name="Параметр" xfId="757"/>
    <cellStyle name="ПеременныеСметы" xfId="758"/>
    <cellStyle name="ПИР" xfId="24"/>
    <cellStyle name="Плохой 2" xfId="759"/>
    <cellStyle name="Плохой 2 2" xfId="760"/>
    <cellStyle name="Плохой 2 2 2" xfId="761"/>
    <cellStyle name="Плохой 2 3" xfId="762"/>
    <cellStyle name="Плохой 3" xfId="763"/>
    <cellStyle name="Пояснение 2" xfId="764"/>
    <cellStyle name="Пояснение 2 2" xfId="765"/>
    <cellStyle name="Пояснение 2 2 2" xfId="766"/>
    <cellStyle name="Пояснение 2 3" xfId="767"/>
    <cellStyle name="Пояснение 3" xfId="768"/>
    <cellStyle name="Примечание 2" xfId="769"/>
    <cellStyle name="Примечание 2 2" xfId="770"/>
    <cellStyle name="Примечание 2 2 2" xfId="771"/>
    <cellStyle name="Примечание 2 2 2 2" xfId="772"/>
    <cellStyle name="Примечание 2 2 3" xfId="773"/>
    <cellStyle name="Примечание 2 3" xfId="774"/>
    <cellStyle name="Примечание 2 3 2" xfId="775"/>
    <cellStyle name="Примечание 2 4" xfId="776"/>
    <cellStyle name="Примечание 2 5" xfId="777"/>
    <cellStyle name="Примечание 2 6" xfId="778"/>
    <cellStyle name="Примечание 3" xfId="779"/>
    <cellStyle name="Примечание 3 2" xfId="780"/>
    <cellStyle name="Примечание 3 2 2" xfId="781"/>
    <cellStyle name="Примечание 3 3" xfId="782"/>
    <cellStyle name="Примечание 4" xfId="783"/>
    <cellStyle name="Примечание 4 2" xfId="784"/>
    <cellStyle name="Процентный 2" xfId="25"/>
    <cellStyle name="Процентный 2 2" xfId="785"/>
    <cellStyle name="Процентный 2 2 2" xfId="786"/>
    <cellStyle name="Процентный 2 2 3" xfId="787"/>
    <cellStyle name="Процентный 2 3" xfId="788"/>
    <cellStyle name="Процентный 2 3 2" xfId="789"/>
    <cellStyle name="Процентный 3" xfId="790"/>
    <cellStyle name="Процентный 3 2" xfId="791"/>
    <cellStyle name="Процентный 3 3" xfId="792"/>
    <cellStyle name="Процентный 4" xfId="793"/>
    <cellStyle name="Процентный 4 2" xfId="794"/>
    <cellStyle name="Процентный 4 2 2" xfId="795"/>
    <cellStyle name="Процентный 4 3" xfId="796"/>
    <cellStyle name="Процентный 5" xfId="797"/>
    <cellStyle name="Процентный 6" xfId="798"/>
    <cellStyle name="Процентный 6 2" xfId="799"/>
    <cellStyle name="Процентный 6 2 2" xfId="800"/>
    <cellStyle name="Процентный 6 2 3" xfId="801"/>
    <cellStyle name="Процентный 6 3" xfId="802"/>
    <cellStyle name="Процентный 6 4" xfId="803"/>
    <cellStyle name="Процентный 7" xfId="804"/>
    <cellStyle name="Процентный 7 2" xfId="805"/>
    <cellStyle name="Процентный 7 3" xfId="806"/>
    <cellStyle name="РесСмета" xfId="807"/>
    <cellStyle name="СводВедРес" xfId="808"/>
    <cellStyle name="СводкаСтоимРаб" xfId="809"/>
    <cellStyle name="СводРасч" xfId="810"/>
    <cellStyle name="Связанная ячейка 2" xfId="811"/>
    <cellStyle name="Связанная ячейка 2 2" xfId="812"/>
    <cellStyle name="Связанная ячейка 2 2 2" xfId="813"/>
    <cellStyle name="Связанная ячейка 2 3" xfId="814"/>
    <cellStyle name="Связанная ячейка 3" xfId="815"/>
    <cellStyle name="Стиль 1" xfId="26"/>
    <cellStyle name="Стиль 1 2" xfId="816"/>
    <cellStyle name="Стиль 1 2 2" xfId="817"/>
    <cellStyle name="Стиль 1 3" xfId="818"/>
    <cellStyle name="Стиль 1 3 2" xfId="819"/>
    <cellStyle name="Стиль 1 4" xfId="820"/>
    <cellStyle name="Стиль 1 5" xfId="821"/>
    <cellStyle name="Стиль 1_1.2 ХЭС" xfId="822"/>
    <cellStyle name="Текст предупреждения 2" xfId="823"/>
    <cellStyle name="Текст предупреждения 2 2" xfId="824"/>
    <cellStyle name="Текст предупреждения 2 2 2" xfId="825"/>
    <cellStyle name="Текст предупреждения 2 3" xfId="826"/>
    <cellStyle name="Текст предупреждения 3" xfId="827"/>
    <cellStyle name="Текст предупреждения 3 2" xfId="828"/>
    <cellStyle name="Титул" xfId="27"/>
    <cellStyle name="Тысячи [0]_laroux" xfId="28"/>
    <cellStyle name="Тысячи_laroux" xfId="29"/>
    <cellStyle name="Финансовый 10" xfId="829"/>
    <cellStyle name="Финансовый 11" xfId="830"/>
    <cellStyle name="Финансовый 2" xfId="30"/>
    <cellStyle name="Финансовый 2 10" xfId="831"/>
    <cellStyle name="Финансовый 2 11" xfId="832"/>
    <cellStyle name="Финансовый 2 12" xfId="833"/>
    <cellStyle name="Финансовый 2 2" xfId="834"/>
    <cellStyle name="Финансовый 2 2 2" xfId="835"/>
    <cellStyle name="Финансовый 2 2 2 2" xfId="836"/>
    <cellStyle name="Финансовый 2 2 2 2 2" xfId="39"/>
    <cellStyle name="Финансовый 2 2 3" xfId="837"/>
    <cellStyle name="Финансовый 2 3" xfId="838"/>
    <cellStyle name="Финансовый 2 3 2" xfId="839"/>
    <cellStyle name="Финансовый 2 3 3" xfId="840"/>
    <cellStyle name="Финансовый 2 4" xfId="841"/>
    <cellStyle name="Финансовый 2 5" xfId="842"/>
    <cellStyle name="Финансовый 2 6" xfId="843"/>
    <cellStyle name="Финансовый 2 7" xfId="844"/>
    <cellStyle name="Финансовый 2 7 2" xfId="845"/>
    <cellStyle name="Финансовый 2 7 2 2" xfId="846"/>
    <cellStyle name="Финансовый 2 7 2 3" xfId="847"/>
    <cellStyle name="Финансовый 2 7 3" xfId="848"/>
    <cellStyle name="Финансовый 2 7 4" xfId="849"/>
    <cellStyle name="Финансовый 2 8" xfId="850"/>
    <cellStyle name="Финансовый 2 8 2" xfId="851"/>
    <cellStyle name="Финансовый 2 8 3" xfId="852"/>
    <cellStyle name="Финансовый 2 9" xfId="853"/>
    <cellStyle name="Финансовый 2 9 2" xfId="854"/>
    <cellStyle name="Финансовый 2 9 3" xfId="855"/>
    <cellStyle name="Финансовый 3" xfId="31"/>
    <cellStyle name="Финансовый 3 2" xfId="856"/>
    <cellStyle name="Финансовый 3 2 2" xfId="857"/>
    <cellStyle name="Финансовый 3 2 2 2" xfId="858"/>
    <cellStyle name="Финансовый 3 2 2 2 2" xfId="859"/>
    <cellStyle name="Финансовый 3 2 2 2 3" xfId="860"/>
    <cellStyle name="Финансовый 3 2 2 2 3 2" xfId="861"/>
    <cellStyle name="Финансовый 3 2 2 2 3 2 2" xfId="862"/>
    <cellStyle name="Финансовый 3 2 2 2 3 2 3" xfId="863"/>
    <cellStyle name="Финансовый 3 2 2 2 3 3" xfId="864"/>
    <cellStyle name="Финансовый 3 2 2 2 3 4" xfId="865"/>
    <cellStyle name="Финансовый 3 2 2 3" xfId="866"/>
    <cellStyle name="Финансовый 3 2 2 4" xfId="867"/>
    <cellStyle name="Финансовый 3 2 2 4 2" xfId="868"/>
    <cellStyle name="Финансовый 3 2 2 4 2 2" xfId="869"/>
    <cellStyle name="Финансовый 3 2 2 4 2 3" xfId="870"/>
    <cellStyle name="Финансовый 3 2 2 4 3" xfId="871"/>
    <cellStyle name="Финансовый 3 2 2 4 4" xfId="872"/>
    <cellStyle name="Финансовый 3 2 3" xfId="873"/>
    <cellStyle name="Финансовый 3 2 3 2" xfId="874"/>
    <cellStyle name="Финансовый 3 2 3 3" xfId="875"/>
    <cellStyle name="Финансовый 3 2 3 3 2" xfId="876"/>
    <cellStyle name="Финансовый 3 2 3 3 2 2" xfId="877"/>
    <cellStyle name="Финансовый 3 2 3 3 2 3" xfId="878"/>
    <cellStyle name="Финансовый 3 2 3 3 3" xfId="879"/>
    <cellStyle name="Финансовый 3 2 3 3 4" xfId="880"/>
    <cellStyle name="Финансовый 3 2 4" xfId="881"/>
    <cellStyle name="Финансовый 3 3" xfId="882"/>
    <cellStyle name="Финансовый 3 3 2" xfId="883"/>
    <cellStyle name="Финансовый 3 3 2 2" xfId="884"/>
    <cellStyle name="Финансовый 3 3 2 3" xfId="885"/>
    <cellStyle name="Финансовый 3 3 2 3 2" xfId="886"/>
    <cellStyle name="Финансовый 3 3 2 3 2 2" xfId="887"/>
    <cellStyle name="Финансовый 3 3 2 3 2 3" xfId="888"/>
    <cellStyle name="Финансовый 3 3 2 3 3" xfId="889"/>
    <cellStyle name="Финансовый 3 3 2 3 4" xfId="890"/>
    <cellStyle name="Финансовый 3 3 3" xfId="891"/>
    <cellStyle name="Финансовый 3 3 4" xfId="892"/>
    <cellStyle name="Финансовый 3 3 4 2" xfId="893"/>
    <cellStyle name="Финансовый 3 3 4 2 2" xfId="894"/>
    <cellStyle name="Финансовый 3 3 4 2 3" xfId="895"/>
    <cellStyle name="Финансовый 3 3 4 3" xfId="896"/>
    <cellStyle name="Финансовый 3 3 4 4" xfId="897"/>
    <cellStyle name="Финансовый 3 4" xfId="898"/>
    <cellStyle name="Финансовый 3 4 2" xfId="899"/>
    <cellStyle name="Финансовый 3 4 3" xfId="900"/>
    <cellStyle name="Финансовый 3 4 3 2" xfId="901"/>
    <cellStyle name="Финансовый 3 4 3 2 2" xfId="902"/>
    <cellStyle name="Финансовый 3 4 3 2 3" xfId="903"/>
    <cellStyle name="Финансовый 3 4 3 3" xfId="904"/>
    <cellStyle name="Финансовый 3 4 3 4" xfId="905"/>
    <cellStyle name="Финансовый 3 5" xfId="906"/>
    <cellStyle name="Финансовый 3 6" xfId="907"/>
    <cellStyle name="Финансовый 3 6 2" xfId="908"/>
    <cellStyle name="Финансовый 3 6 3" xfId="909"/>
    <cellStyle name="Финансовый 3 7" xfId="910"/>
    <cellStyle name="Финансовый 3 8" xfId="911"/>
    <cellStyle name="Финансовый 3 9" xfId="912"/>
    <cellStyle name="Финансовый 4" xfId="913"/>
    <cellStyle name="Финансовый 4 2" xfId="914"/>
    <cellStyle name="Финансовый 4 3" xfId="915"/>
    <cellStyle name="Финансовый 4 4" xfId="916"/>
    <cellStyle name="Финансовый 4 4 2" xfId="917"/>
    <cellStyle name="Финансовый 4 4 2 2" xfId="918"/>
    <cellStyle name="Финансовый 4 4 3" xfId="919"/>
    <cellStyle name="Финансовый 4 4 3 2" xfId="920"/>
    <cellStyle name="Финансовый 4 4 3 3" xfId="921"/>
    <cellStyle name="Финансовый 4 4 4" xfId="922"/>
    <cellStyle name="Финансовый 4 4 4 2" xfId="923"/>
    <cellStyle name="Финансовый 4 4 4 3" xfId="924"/>
    <cellStyle name="Финансовый 4 4 5" xfId="925"/>
    <cellStyle name="Финансовый 4 4 6" xfId="926"/>
    <cellStyle name="Финансовый 4 5" xfId="927"/>
    <cellStyle name="Финансовый 4 6" xfId="928"/>
    <cellStyle name="Финансовый 4 6 2" xfId="929"/>
    <cellStyle name="Финансовый 4 6 3" xfId="930"/>
    <cellStyle name="Финансовый 4 7" xfId="965"/>
    <cellStyle name="Финансовый 5" xfId="931"/>
    <cellStyle name="Финансовый 5 2" xfId="932"/>
    <cellStyle name="Финансовый 6" xfId="933"/>
    <cellStyle name="Финансовый 6 2" xfId="934"/>
    <cellStyle name="Финансовый 6 2 2" xfId="935"/>
    <cellStyle name="Финансовый 6 2 3" xfId="936"/>
    <cellStyle name="Финансовый 6 3" xfId="937"/>
    <cellStyle name="Финансовый 6 3 2" xfId="938"/>
    <cellStyle name="Финансовый 6 3 3" xfId="939"/>
    <cellStyle name="Финансовый 6 4" xfId="940"/>
    <cellStyle name="Финансовый 6 5" xfId="941"/>
    <cellStyle name="Финансовый 7" xfId="942"/>
    <cellStyle name="Финансовый 7 2" xfId="943"/>
    <cellStyle name="Финансовый 7 3" xfId="944"/>
    <cellStyle name="Финансовый 7 3 2" xfId="945"/>
    <cellStyle name="Финансовый 7 3 2 2" xfId="946"/>
    <cellStyle name="Финансовый 7 3 2 3" xfId="947"/>
    <cellStyle name="Финансовый 7 3 3" xfId="948"/>
    <cellStyle name="Финансовый 7 3 3 2" xfId="949"/>
    <cellStyle name="Финансовый 7 3 3 3" xfId="950"/>
    <cellStyle name="Финансовый 7 3 4" xfId="951"/>
    <cellStyle name="Финансовый 7 3 5" xfId="952"/>
    <cellStyle name="Финансовый 8" xfId="953"/>
    <cellStyle name="Финансовый 8 2" xfId="954"/>
    <cellStyle name="Финансовый 8 3" xfId="955"/>
    <cellStyle name="Финансовый 9" xfId="956"/>
    <cellStyle name="Формула" xfId="957"/>
    <cellStyle name="Хвост" xfId="32"/>
    <cellStyle name="Хороший 2" xfId="958"/>
    <cellStyle name="Хороший 2 2" xfId="959"/>
    <cellStyle name="Хороший 2 2 2" xfId="960"/>
    <cellStyle name="Хороший 2 3" xfId="961"/>
    <cellStyle name="Хороший 3" xfId="962"/>
    <cellStyle name="Ценник" xfId="963"/>
    <cellStyle name="Экспертиза" xfId="9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66"/>
  <sheetViews>
    <sheetView showGridLines="0" tabSelected="1" view="pageBreakPreview" topLeftCell="A28" zoomScaleNormal="85" zoomScaleSheetLayoutView="100" workbookViewId="0">
      <selection activeCell="D48" sqref="D48"/>
    </sheetView>
  </sheetViews>
  <sheetFormatPr defaultRowHeight="12.75" x14ac:dyDescent="0.2"/>
  <cols>
    <col min="1" max="1" width="5" style="1" customWidth="1"/>
    <col min="2" max="2" width="21.140625" style="2" customWidth="1"/>
    <col min="3" max="3" width="48.7109375" style="2" customWidth="1"/>
    <col min="4" max="4" width="16.42578125" style="5" customWidth="1"/>
    <col min="5" max="5" width="19.140625" style="5" customWidth="1"/>
    <col min="6" max="6" width="13.42578125" style="5" customWidth="1"/>
    <col min="7" max="7" width="12.5703125" style="5" customWidth="1"/>
    <col min="8" max="8" width="13.42578125" style="5" customWidth="1"/>
    <col min="9" max="9" width="21.7109375" style="4" customWidth="1"/>
    <col min="10" max="13" width="9.140625" style="4" customWidth="1"/>
    <col min="14" max="14" width="12" style="4" bestFit="1" customWidth="1"/>
    <col min="15" max="16384" width="9.140625" style="4"/>
  </cols>
  <sheetData>
    <row r="1" spans="1:8" ht="21.75" customHeight="1" x14ac:dyDescent="0.2">
      <c r="D1" s="6" t="s">
        <v>58</v>
      </c>
      <c r="F1" s="3"/>
      <c r="G1" s="3"/>
      <c r="H1" s="3"/>
    </row>
    <row r="2" spans="1:8" ht="21.75" customHeight="1" x14ac:dyDescent="0.2">
      <c r="D2" s="7"/>
      <c r="F2" s="3"/>
      <c r="G2" s="3"/>
      <c r="H2" s="3"/>
    </row>
    <row r="3" spans="1:8" x14ac:dyDescent="0.2">
      <c r="C3" s="8"/>
      <c r="D3" s="9" t="s">
        <v>95</v>
      </c>
      <c r="E3" s="10"/>
      <c r="F3" s="9"/>
      <c r="G3" s="9"/>
      <c r="H3" s="3"/>
    </row>
    <row r="4" spans="1:8" x14ac:dyDescent="0.2">
      <c r="D4" s="11" t="s">
        <v>0</v>
      </c>
      <c r="F4" s="3"/>
      <c r="G4" s="3"/>
      <c r="H4" s="3"/>
    </row>
    <row r="5" spans="1:8" x14ac:dyDescent="0.2">
      <c r="H5" s="3"/>
    </row>
    <row r="6" spans="1:8" x14ac:dyDescent="0.2">
      <c r="B6" s="2" t="s">
        <v>71</v>
      </c>
      <c r="D6" s="7"/>
      <c r="E6" s="3"/>
      <c r="F6" s="3"/>
      <c r="G6" s="3"/>
      <c r="H6" s="3"/>
    </row>
    <row r="7" spans="1:8" x14ac:dyDescent="0.2">
      <c r="D7" s="7"/>
      <c r="E7" s="3"/>
      <c r="F7" s="3"/>
      <c r="G7" s="3"/>
      <c r="H7" s="3"/>
    </row>
    <row r="8" spans="1:8" ht="12.75" customHeight="1" x14ac:dyDescent="0.2">
      <c r="A8" s="121" t="s">
        <v>1</v>
      </c>
      <c r="B8" s="122" t="s">
        <v>4</v>
      </c>
      <c r="C8" s="122" t="s">
        <v>5</v>
      </c>
      <c r="D8" s="125" t="s">
        <v>81</v>
      </c>
      <c r="E8" s="125"/>
      <c r="F8" s="125"/>
      <c r="G8" s="125"/>
      <c r="H8" s="121" t="s">
        <v>72</v>
      </c>
    </row>
    <row r="9" spans="1:8" x14ac:dyDescent="0.2">
      <c r="A9" s="121"/>
      <c r="B9" s="122"/>
      <c r="C9" s="122"/>
      <c r="D9" s="121" t="s">
        <v>21</v>
      </c>
      <c r="E9" s="121" t="s">
        <v>22</v>
      </c>
      <c r="F9" s="121" t="s">
        <v>2</v>
      </c>
      <c r="G9" s="121" t="s">
        <v>3</v>
      </c>
      <c r="H9" s="121"/>
    </row>
    <row r="10" spans="1:8" x14ac:dyDescent="0.2">
      <c r="A10" s="121"/>
      <c r="B10" s="122"/>
      <c r="C10" s="122"/>
      <c r="D10" s="121"/>
      <c r="E10" s="121"/>
      <c r="F10" s="121"/>
      <c r="G10" s="121"/>
      <c r="H10" s="121"/>
    </row>
    <row r="11" spans="1:8" x14ac:dyDescent="0.2">
      <c r="A11" s="121"/>
      <c r="B11" s="122"/>
      <c r="C11" s="122"/>
      <c r="D11" s="121"/>
      <c r="E11" s="121"/>
      <c r="F11" s="121"/>
      <c r="G11" s="121"/>
      <c r="H11" s="121"/>
    </row>
    <row r="12" spans="1:8" x14ac:dyDescent="0.2">
      <c r="A12" s="12">
        <v>1</v>
      </c>
      <c r="B12" s="13">
        <v>2</v>
      </c>
      <c r="C12" s="13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</row>
    <row r="13" spans="1:8" x14ac:dyDescent="0.2">
      <c r="A13" s="123" t="s">
        <v>6</v>
      </c>
      <c r="B13" s="124"/>
      <c r="C13" s="124"/>
      <c r="D13" s="124"/>
      <c r="E13" s="124"/>
      <c r="F13" s="124"/>
      <c r="G13" s="124"/>
      <c r="H13" s="124"/>
    </row>
    <row r="14" spans="1:8" ht="38.25" x14ac:dyDescent="0.2">
      <c r="A14" s="14">
        <v>1</v>
      </c>
      <c r="B14" s="15" t="s">
        <v>57</v>
      </c>
      <c r="C14" s="84" t="str">
        <f>'расчет 1'!B11</f>
        <v>ВЛ-6 кВ Ф-9 ПС Шкотово (свободностоящая)  СИП 70 ж/б без учета стоек опор ж/б СВ 95-3 2 шт. и провода СИП - 0,1 км.</v>
      </c>
      <c r="D14" s="72"/>
      <c r="E14" s="73">
        <f>'расчет 1'!H11</f>
        <v>103383</v>
      </c>
      <c r="F14" s="73">
        <f>'расчет 1'!I11</f>
        <v>5458</v>
      </c>
      <c r="G14" s="72"/>
      <c r="H14" s="73">
        <f>SUM(D14:G14)</f>
        <v>108841</v>
      </c>
    </row>
    <row r="15" spans="1:8" ht="38.25" x14ac:dyDescent="0.2">
      <c r="A15" s="14">
        <v>2</v>
      </c>
      <c r="B15" s="15" t="s">
        <v>57</v>
      </c>
      <c r="C15" s="84" t="str">
        <f>'расчет 1'!B12</f>
        <v>ВЛ-6 кВ Ф-17 ПС Шкотово (свободностоящая)  СИП 70 ж/б без учета стоек опор ж/б СВ 95-3 11 шт. и провода СИП - 0,6 км.</v>
      </c>
      <c r="D15" s="72"/>
      <c r="E15" s="73">
        <f>'расчет 1'!H12</f>
        <v>630264</v>
      </c>
      <c r="F15" s="73">
        <f>'расчет 1'!I12</f>
        <v>32747</v>
      </c>
      <c r="G15" s="72"/>
      <c r="H15" s="73">
        <f>SUM(D15:G15)</f>
        <v>663011</v>
      </c>
    </row>
    <row r="16" spans="1:8" ht="25.5" x14ac:dyDescent="0.2">
      <c r="A16" s="14">
        <v>3</v>
      </c>
      <c r="B16" s="15" t="s">
        <v>57</v>
      </c>
      <c r="C16" s="84" t="str">
        <f>'расчет 1'!B13</f>
        <v>КТП-83067
без учета КТП 400 кВА</v>
      </c>
      <c r="D16" s="72"/>
      <c r="E16" s="73">
        <f>'расчет 1'!H13</f>
        <v>745176</v>
      </c>
      <c r="F16" s="73">
        <f>'расчет 1'!I13</f>
        <v>0</v>
      </c>
      <c r="G16" s="72"/>
      <c r="H16" s="73">
        <f>SUM(D16:G16)</f>
        <v>745176</v>
      </c>
    </row>
    <row r="17" spans="1:8" ht="38.25" x14ac:dyDescent="0.2">
      <c r="A17" s="14">
        <v>4</v>
      </c>
      <c r="B17" s="15" t="s">
        <v>57</v>
      </c>
      <c r="C17" s="84" t="str">
        <f>'расчет 1'!B14</f>
        <v>ВЛ-0,4 кВ Ф-Луговая КТП-83067 (свободностоящая)  СИП 70 ж/б без учета стоек опор ж/б СВ 95-3 92 шт. и провода СИП - 3,6 км.</v>
      </c>
      <c r="D17" s="72"/>
      <c r="E17" s="73">
        <f>'расчет 1'!H14</f>
        <v>2157091</v>
      </c>
      <c r="F17" s="73">
        <f>'расчет 1'!I14</f>
        <v>141084</v>
      </c>
      <c r="G17" s="72"/>
      <c r="H17" s="73">
        <f t="shared" ref="H17:H21" si="0">SUM(D17:G17)</f>
        <v>2298175</v>
      </c>
    </row>
    <row r="18" spans="1:8" ht="38.25" x14ac:dyDescent="0.2">
      <c r="A18" s="14">
        <v>5</v>
      </c>
      <c r="B18" s="15" t="s">
        <v>57</v>
      </c>
      <c r="C18" s="84" t="str">
        <f>'расчет 1'!B15</f>
        <v>ВЛ-0,4 кВ Ф-Южная КТП-83067 (свободностоящая)  СИП 70 ж/б без учета стоек опор ж/б СВ 95-3 9 шт. и провода СИП - 0,3 км.</v>
      </c>
      <c r="D18" s="72"/>
      <c r="E18" s="73">
        <f>'расчет 1'!H15</f>
        <v>166422</v>
      </c>
      <c r="F18" s="73">
        <f>'расчет 1'!I15</f>
        <v>11757</v>
      </c>
      <c r="G18" s="72"/>
      <c r="H18" s="73">
        <f t="shared" si="0"/>
        <v>178179</v>
      </c>
    </row>
    <row r="19" spans="1:8" ht="25.5" x14ac:dyDescent="0.2">
      <c r="A19" s="14">
        <v>6</v>
      </c>
      <c r="B19" s="15" t="s">
        <v>57</v>
      </c>
      <c r="C19" s="84" t="str">
        <f>'расчет 1'!B16</f>
        <v>КТП-83051
без учета КТП 400 кВА</v>
      </c>
      <c r="D19" s="72"/>
      <c r="E19" s="73">
        <f>'расчет 1'!H16</f>
        <v>745176</v>
      </c>
      <c r="F19" s="73">
        <f>'расчет 1'!I16</f>
        <v>0</v>
      </c>
      <c r="G19" s="72"/>
      <c r="H19" s="73">
        <f t="shared" si="0"/>
        <v>745176</v>
      </c>
    </row>
    <row r="20" spans="1:8" ht="38.25" x14ac:dyDescent="0.2">
      <c r="A20" s="14">
        <v>7</v>
      </c>
      <c r="B20" s="15" t="s">
        <v>57</v>
      </c>
      <c r="C20" s="84" t="str">
        <f>'расчет 1'!B17</f>
        <v>ВЛ-0,4 кВ Ф-1 КТП-83048 (свободностоящая)  СИП 70 ж/б без учета стоек опор ж/б СВ 95-3 4 шт. и провода СИП - 0,4 км.</v>
      </c>
      <c r="D20" s="72"/>
      <c r="E20" s="73">
        <f>'расчет 1'!H17</f>
        <v>301895</v>
      </c>
      <c r="F20" s="73">
        <f>'расчет 1'!I17</f>
        <v>15676</v>
      </c>
      <c r="G20" s="72"/>
      <c r="H20" s="73">
        <f t="shared" si="0"/>
        <v>317571</v>
      </c>
    </row>
    <row r="21" spans="1:8" ht="38.25" x14ac:dyDescent="0.2">
      <c r="A21" s="14">
        <v>8</v>
      </c>
      <c r="B21" s="15" t="s">
        <v>57</v>
      </c>
      <c r="C21" s="84" t="str">
        <f>'расчет 1'!B18</f>
        <v>ВЛ-0,4 кВ Ф-2 КТП-83048 (свободностоящая)  СИП 70 ж/б без учета стоек опор ж/б СВ 95-3 9 шт. и провода СИП - 0,4 км.</v>
      </c>
      <c r="D21" s="72"/>
      <c r="E21" s="73">
        <f>'расчет 1'!H18</f>
        <v>251895</v>
      </c>
      <c r="F21" s="73">
        <f>'расчет 1'!I18</f>
        <v>15676</v>
      </c>
      <c r="G21" s="72"/>
      <c r="H21" s="73">
        <f t="shared" si="0"/>
        <v>267571</v>
      </c>
    </row>
    <row r="22" spans="1:8" ht="38.25" x14ac:dyDescent="0.2">
      <c r="A22" s="14">
        <v>9</v>
      </c>
      <c r="B22" s="15" t="s">
        <v>57</v>
      </c>
      <c r="C22" s="84" t="str">
        <f>'расчет 1'!B19</f>
        <v>ВЛ-0,4 кВ Ф-Матюшкина от ТП-3042 (свободностоящая)  СИП 70 ж/б без учета стоек опор ж/б СВ 95-3 11 шт. и провода СИП - 0,4 км.</v>
      </c>
      <c r="D22" s="72"/>
      <c r="E22" s="73">
        <f>'расчет 1'!H19</f>
        <v>231895</v>
      </c>
      <c r="F22" s="73">
        <f>'расчет 1'!I19</f>
        <v>15676</v>
      </c>
      <c r="G22" s="72"/>
      <c r="H22" s="73">
        <f t="shared" ref="H22:H28" si="1">SUM(D22:G22)</f>
        <v>247571</v>
      </c>
    </row>
    <row r="23" spans="1:8" ht="38.25" x14ac:dyDescent="0.2">
      <c r="A23" s="14">
        <v>10</v>
      </c>
      <c r="B23" s="15" t="s">
        <v>57</v>
      </c>
      <c r="C23" s="84" t="str">
        <f>'расчет 1'!B20</f>
        <v>ВЛ-0,4 кВ Ф-Автозоводская ТП-3042 (свободностоящая)  СИП 70 ж/б без учета стоек опор ж/б СВ 95-3 44 шт. и провода СИП - 1,7 км.</v>
      </c>
      <c r="D23" s="72"/>
      <c r="E23" s="73">
        <f>'расчет 1'!H20</f>
        <v>1013056</v>
      </c>
      <c r="F23" s="73">
        <f>'расчет 1'!I20</f>
        <v>66622</v>
      </c>
      <c r="G23" s="72"/>
      <c r="H23" s="73">
        <f t="shared" si="1"/>
        <v>1079678</v>
      </c>
    </row>
    <row r="24" spans="1:8" ht="38.25" x14ac:dyDescent="0.2">
      <c r="A24" s="14">
        <v>11</v>
      </c>
      <c r="B24" s="15" t="s">
        <v>57</v>
      </c>
      <c r="C24" s="84" t="str">
        <f>'расчет 1'!B21</f>
        <v>ВЛ-6 кВ Ф-14 ПС Верхняя (свободностоящая)  СИП 70 ж/б без учета стоек опор ж/б СВ 95-3 5 шт. и провода СИП - 0,3 км.</v>
      </c>
      <c r="D24" s="72"/>
      <c r="E24" s="73">
        <f>'расчет 1'!H21</f>
        <v>320116</v>
      </c>
      <c r="F24" s="73">
        <f>'расчет 1'!I21</f>
        <v>16373</v>
      </c>
      <c r="G24" s="72"/>
      <c r="H24" s="73">
        <f t="shared" si="1"/>
        <v>336489</v>
      </c>
    </row>
    <row r="25" spans="1:8" ht="38.25" x14ac:dyDescent="0.2">
      <c r="A25" s="14">
        <v>12</v>
      </c>
      <c r="B25" s="15" t="s">
        <v>57</v>
      </c>
      <c r="C25" s="84" t="str">
        <f>'расчет 1'!B22</f>
        <v>ВЛ-6 кВ Ф-16 ПС Верхняя (свободностоящая)  СИП 70 ж/б без учета стоек опор ж/б СВ 95-3 8 шт. и провода СИП - 0,3 км.</v>
      </c>
      <c r="D25" s="72"/>
      <c r="E25" s="73">
        <f>'расчет 1'!H22</f>
        <v>290116</v>
      </c>
      <c r="F25" s="73">
        <f>'расчет 1'!I22</f>
        <v>16373</v>
      </c>
      <c r="G25" s="72"/>
      <c r="H25" s="73">
        <f t="shared" si="1"/>
        <v>306489</v>
      </c>
    </row>
    <row r="26" spans="1:8" ht="38.25" x14ac:dyDescent="0.2">
      <c r="A26" s="14">
        <v>13</v>
      </c>
      <c r="B26" s="15" t="s">
        <v>57</v>
      </c>
      <c r="C26" s="84" t="str">
        <f>'расчет 1'!B23</f>
        <v>ВЛ-0,4 кВ Ф-1 КТП-83021  (свободностоящая)  СИП 70 ж/б без учета стоек опор ж/б СВ 95-3 66 шт. и провода СИП - 3 км.</v>
      </c>
      <c r="D26" s="72"/>
      <c r="E26" s="73">
        <f>'расчет 1'!H23</f>
        <v>1904247</v>
      </c>
      <c r="F26" s="73">
        <f>'расчет 1'!I23</f>
        <v>117570</v>
      </c>
      <c r="G26" s="72"/>
      <c r="H26" s="73">
        <f t="shared" si="1"/>
        <v>2021817</v>
      </c>
    </row>
    <row r="27" spans="1:8" ht="25.5" x14ac:dyDescent="0.2">
      <c r="A27" s="14">
        <v>14</v>
      </c>
      <c r="B27" s="15" t="s">
        <v>57</v>
      </c>
      <c r="C27" s="84" t="str">
        <f>'расчет 1'!B24</f>
        <v>КТП-83003
без учета КТП 400 кВА</v>
      </c>
      <c r="D27" s="72"/>
      <c r="E27" s="73">
        <f>'расчет 1'!H24</f>
        <v>745177</v>
      </c>
      <c r="F27" s="73">
        <f>'расчет 1'!I24</f>
        <v>0</v>
      </c>
      <c r="G27" s="72"/>
      <c r="H27" s="73">
        <f t="shared" si="1"/>
        <v>745177</v>
      </c>
    </row>
    <row r="28" spans="1:8" ht="38.25" x14ac:dyDescent="0.2">
      <c r="A28" s="14">
        <v>15</v>
      </c>
      <c r="B28" s="15" t="s">
        <v>57</v>
      </c>
      <c r="C28" s="84" t="str">
        <f>'расчет 1'!B25</f>
        <v>ВЛ-0,4 кВ Ф-1 (ул. Первомайская, магазин) КТП-83007 (свободностоящая)  СИП 70 ж/б без учета стоек опор ж/б СВ 95-3 27 шт. и провода СИП - 1,4 км.</v>
      </c>
      <c r="D28" s="72"/>
      <c r="E28" s="73">
        <f>'расчет 1'!H25</f>
        <v>926634</v>
      </c>
      <c r="F28" s="73">
        <f>'расчет 1'!I25</f>
        <v>54865</v>
      </c>
      <c r="G28" s="72"/>
      <c r="H28" s="73">
        <f t="shared" si="1"/>
        <v>981499</v>
      </c>
    </row>
    <row r="29" spans="1:8" ht="38.25" x14ac:dyDescent="0.2">
      <c r="A29" s="14">
        <v>16</v>
      </c>
      <c r="B29" s="15" t="s">
        <v>57</v>
      </c>
      <c r="C29" s="84" t="str">
        <f>'расчет 1'!B26</f>
        <v>ВЛ-0,4 кВ Ф-2 (ул. Первомайская, Заречная) КТП-83007 (свободностоящая)  СИП 70 ж/б без учета стоек опор ж/б СВ 95-3 51 шт. и провода СИП - 1,8 км.</v>
      </c>
      <c r="D29" s="72"/>
      <c r="E29" s="73">
        <f>'расчет 1'!H26</f>
        <v>1028529</v>
      </c>
      <c r="F29" s="73">
        <f>'расчет 1'!I26</f>
        <v>70541</v>
      </c>
      <c r="G29" s="72"/>
      <c r="H29" s="73">
        <f t="shared" ref="H29:H31" si="2">SUM(D29:G29)</f>
        <v>1099070</v>
      </c>
    </row>
    <row r="30" spans="1:8" ht="38.25" x14ac:dyDescent="0.2">
      <c r="A30" s="14">
        <v>17</v>
      </c>
      <c r="B30" s="15" t="s">
        <v>57</v>
      </c>
      <c r="C30" s="84" t="str">
        <f>'расчет 1'!B27</f>
        <v>ВЛ-0,4 кВ Ф-3 ул. (Первомайская, Заречная) КТП-83007 (свободностоящая)  СИП 70 ж/б без учета стоек опор ж/б СВ 95-3 35 шт. и провода СИП - 1,8 км.</v>
      </c>
      <c r="D30" s="72"/>
      <c r="E30" s="73">
        <f>'расчет 1'!H27</f>
        <v>1188529</v>
      </c>
      <c r="F30" s="73">
        <f>'расчет 1'!I27</f>
        <v>70541</v>
      </c>
      <c r="G30" s="72"/>
      <c r="H30" s="73">
        <f t="shared" si="2"/>
        <v>1259070</v>
      </c>
    </row>
    <row r="31" spans="1:8" ht="38.25" x14ac:dyDescent="0.2">
      <c r="A31" s="14">
        <v>18</v>
      </c>
      <c r="B31" s="15" t="s">
        <v>57</v>
      </c>
      <c r="C31" s="84" t="str">
        <f>'расчет 1'!B28</f>
        <v>ВЛ-0,4 кВ Ф-4 ул. (Первомайская) КТП-83007 (свободностоящая)  СИП 70 ж/б без учета стоек опор ж/б СВ 95-3 35 шт. и провода СИП - 1,8 км.</v>
      </c>
      <c r="D31" s="72"/>
      <c r="E31" s="73">
        <f>'расчет 1'!H28</f>
        <v>1188529</v>
      </c>
      <c r="F31" s="73">
        <f>'расчет 1'!I28</f>
        <v>70541</v>
      </c>
      <c r="G31" s="72"/>
      <c r="H31" s="73">
        <f t="shared" si="2"/>
        <v>1259070</v>
      </c>
    </row>
    <row r="32" spans="1:8" x14ac:dyDescent="0.2">
      <c r="A32" s="16"/>
      <c r="B32" s="119" t="s">
        <v>7</v>
      </c>
      <c r="C32" s="120"/>
      <c r="D32" s="72">
        <f>SUM(D14:D14)</f>
        <v>0</v>
      </c>
      <c r="E32" s="72">
        <f>SUM(E14:E31)</f>
        <v>13938130</v>
      </c>
      <c r="F32" s="72">
        <f>SUM(F14:F31)</f>
        <v>721500</v>
      </c>
      <c r="G32" s="72">
        <f>SUM(G14:G14)</f>
        <v>0</v>
      </c>
      <c r="H32" s="73">
        <f>SUM(D32:G32)</f>
        <v>14659630</v>
      </c>
    </row>
    <row r="33" spans="1:8" x14ac:dyDescent="0.2">
      <c r="A33" s="123" t="s">
        <v>8</v>
      </c>
      <c r="B33" s="124"/>
      <c r="C33" s="124"/>
      <c r="D33" s="124"/>
      <c r="E33" s="124"/>
      <c r="F33" s="124"/>
      <c r="G33" s="124"/>
      <c r="H33" s="124"/>
    </row>
    <row r="34" spans="1:8" x14ac:dyDescent="0.2">
      <c r="A34" s="16"/>
      <c r="B34" s="119" t="s">
        <v>9</v>
      </c>
      <c r="C34" s="120"/>
      <c r="D34" s="67"/>
      <c r="E34" s="67"/>
      <c r="F34" s="67"/>
      <c r="G34" s="67"/>
      <c r="H34" s="67">
        <f>SUM(D34:G34)</f>
        <v>0</v>
      </c>
    </row>
    <row r="35" spans="1:8" x14ac:dyDescent="0.2">
      <c r="A35" s="123" t="s">
        <v>10</v>
      </c>
      <c r="B35" s="124"/>
      <c r="C35" s="124"/>
      <c r="D35" s="124"/>
      <c r="E35" s="124"/>
      <c r="F35" s="124"/>
      <c r="G35" s="124"/>
      <c r="H35" s="124"/>
    </row>
    <row r="36" spans="1:8" x14ac:dyDescent="0.2">
      <c r="A36" s="16"/>
      <c r="B36" s="119" t="s">
        <v>11</v>
      </c>
      <c r="C36" s="120"/>
      <c r="D36" s="72">
        <f>D34+D32</f>
        <v>0</v>
      </c>
      <c r="E36" s="72">
        <f t="shared" ref="E36:G36" si="3">E34+E32</f>
        <v>13938130</v>
      </c>
      <c r="F36" s="72">
        <f t="shared" si="3"/>
        <v>721500</v>
      </c>
      <c r="G36" s="72">
        <f t="shared" si="3"/>
        <v>0</v>
      </c>
      <c r="H36" s="73">
        <f>SUM(D36:G36)</f>
        <v>14659630</v>
      </c>
    </row>
    <row r="37" spans="1:8" x14ac:dyDescent="0.2">
      <c r="A37" s="123" t="s">
        <v>12</v>
      </c>
      <c r="B37" s="124"/>
      <c r="C37" s="124"/>
      <c r="D37" s="124"/>
      <c r="E37" s="124"/>
      <c r="F37" s="124"/>
      <c r="G37" s="124"/>
      <c r="H37" s="124"/>
    </row>
    <row r="38" spans="1:8" x14ac:dyDescent="0.2">
      <c r="A38" s="16"/>
      <c r="B38" s="119" t="s">
        <v>13</v>
      </c>
      <c r="C38" s="120"/>
      <c r="D38" s="72">
        <f>D36</f>
        <v>0</v>
      </c>
      <c r="E38" s="72">
        <f t="shared" ref="E38:G38" si="4">E36</f>
        <v>13938130</v>
      </c>
      <c r="F38" s="72">
        <f t="shared" si="4"/>
        <v>721500</v>
      </c>
      <c r="G38" s="72">
        <f t="shared" si="4"/>
        <v>0</v>
      </c>
      <c r="H38" s="73">
        <f>SUM(D38:G38)</f>
        <v>14659630</v>
      </c>
    </row>
    <row r="39" spans="1:8" x14ac:dyDescent="0.2">
      <c r="A39" s="123" t="s">
        <v>14</v>
      </c>
      <c r="B39" s="124"/>
      <c r="C39" s="124"/>
      <c r="D39" s="124"/>
      <c r="E39" s="124"/>
      <c r="F39" s="124"/>
      <c r="G39" s="124"/>
      <c r="H39" s="124"/>
    </row>
    <row r="40" spans="1:8" ht="68.25" customHeight="1" x14ac:dyDescent="0.2">
      <c r="A40" s="14">
        <v>19</v>
      </c>
      <c r="B40" s="15" t="s">
        <v>57</v>
      </c>
      <c r="C40" s="15" t="s">
        <v>115</v>
      </c>
      <c r="D40" s="72"/>
      <c r="E40" s="73">
        <f>'расчет 1'!K29-'расчет 1'!M29-'расчет 1'!N29</f>
        <v>5333629</v>
      </c>
      <c r="F40" s="72"/>
      <c r="G40" s="72"/>
      <c r="H40" s="73">
        <f>SUM(D40:G40)</f>
        <v>5333629</v>
      </c>
    </row>
    <row r="41" spans="1:8" x14ac:dyDescent="0.2">
      <c r="A41" s="14">
        <v>20</v>
      </c>
      <c r="B41" s="15" t="s">
        <v>57</v>
      </c>
      <c r="C41" s="15" t="s">
        <v>114</v>
      </c>
      <c r="D41" s="72"/>
      <c r="E41" s="73">
        <f>'расчет 1'!J29</f>
        <v>338451</v>
      </c>
      <c r="F41" s="72"/>
      <c r="G41" s="72"/>
      <c r="H41" s="73"/>
    </row>
    <row r="42" spans="1:8" x14ac:dyDescent="0.2">
      <c r="A42" s="16"/>
      <c r="B42" s="119" t="s">
        <v>15</v>
      </c>
      <c r="C42" s="120"/>
      <c r="D42" s="72">
        <f>SUM(D40:D40)</f>
        <v>0</v>
      </c>
      <c r="E42" s="72">
        <f>SUM(E40:E41)</f>
        <v>5672080</v>
      </c>
      <c r="F42" s="72">
        <f>SUM(F40:F40)</f>
        <v>0</v>
      </c>
      <c r="G42" s="72">
        <f>SUM(G40:G40)</f>
        <v>0</v>
      </c>
      <c r="H42" s="73">
        <f t="shared" ref="H42" si="5">SUM(D42:G42)</f>
        <v>5672080</v>
      </c>
    </row>
    <row r="43" spans="1:8" x14ac:dyDescent="0.2">
      <c r="A43" s="16"/>
      <c r="B43" s="119" t="s">
        <v>16</v>
      </c>
      <c r="C43" s="120"/>
      <c r="D43" s="72">
        <f>D38+D42</f>
        <v>0</v>
      </c>
      <c r="E43" s="72">
        <f>E38+E42</f>
        <v>19610210</v>
      </c>
      <c r="F43" s="72">
        <f>F38+F42</f>
        <v>721500</v>
      </c>
      <c r="G43" s="72">
        <f>G38+G42</f>
        <v>0</v>
      </c>
      <c r="H43" s="73">
        <f>SUM(D43:G43)</f>
        <v>20331710</v>
      </c>
    </row>
    <row r="44" spans="1:8" x14ac:dyDescent="0.2">
      <c r="A44" s="123" t="s">
        <v>17</v>
      </c>
      <c r="B44" s="124"/>
      <c r="C44" s="124"/>
      <c r="D44" s="124"/>
      <c r="E44" s="124"/>
      <c r="F44" s="124"/>
      <c r="G44" s="124"/>
      <c r="H44" s="124"/>
    </row>
    <row r="45" spans="1:8" x14ac:dyDescent="0.2">
      <c r="A45" s="16"/>
      <c r="B45" s="119" t="s">
        <v>18</v>
      </c>
      <c r="C45" s="120"/>
      <c r="D45" s="72"/>
      <c r="E45" s="72"/>
      <c r="F45" s="72"/>
      <c r="G45" s="72"/>
      <c r="H45" s="73">
        <f t="shared" ref="H45" si="6">SUM(D45:G45)</f>
        <v>0</v>
      </c>
    </row>
    <row r="46" spans="1:8" x14ac:dyDescent="0.2">
      <c r="A46" s="123" t="s">
        <v>19</v>
      </c>
      <c r="B46" s="124"/>
      <c r="C46" s="124"/>
      <c r="D46" s="124"/>
      <c r="E46" s="124"/>
      <c r="F46" s="124"/>
      <c r="G46" s="124"/>
      <c r="H46" s="124"/>
    </row>
    <row r="47" spans="1:8" x14ac:dyDescent="0.2">
      <c r="A47" s="14">
        <v>29</v>
      </c>
      <c r="B47" s="15" t="s">
        <v>57</v>
      </c>
      <c r="C47" s="15" t="s">
        <v>116</v>
      </c>
      <c r="D47" s="73">
        <f>'расчет 1'!M29</f>
        <v>916234</v>
      </c>
      <c r="E47" s="72"/>
      <c r="F47" s="72"/>
      <c r="G47" s="72"/>
      <c r="H47" s="73">
        <f>SUM(D47:G47)</f>
        <v>916234</v>
      </c>
    </row>
    <row r="48" spans="1:8" ht="27.95" customHeight="1" x14ac:dyDescent="0.2">
      <c r="A48" s="16"/>
      <c r="B48" s="119" t="s">
        <v>20</v>
      </c>
      <c r="C48" s="120"/>
      <c r="D48" s="73">
        <f>SUM(D47:D47)</f>
        <v>916234</v>
      </c>
      <c r="E48" s="73">
        <f>SUM(E47:E47)</f>
        <v>0</v>
      </c>
      <c r="F48" s="73">
        <f>SUM(F47:F47)</f>
        <v>0</v>
      </c>
      <c r="G48" s="73">
        <f>SUM(G47:G47)</f>
        <v>0</v>
      </c>
      <c r="H48" s="73">
        <f t="shared" ref="H48" si="7">SUM(D48:G48)</f>
        <v>916234</v>
      </c>
    </row>
    <row r="49" spans="1:17" s="17" customFormat="1" ht="21.75" customHeight="1" x14ac:dyDescent="0.2">
      <c r="A49" s="63"/>
      <c r="B49" s="111" t="s">
        <v>70</v>
      </c>
      <c r="C49" s="112"/>
      <c r="D49" s="74">
        <f>D48+D43</f>
        <v>916234</v>
      </c>
      <c r="E49" s="74">
        <f>E48+E43</f>
        <v>19610210</v>
      </c>
      <c r="F49" s="74">
        <f>F48+F43</f>
        <v>721500</v>
      </c>
      <c r="G49" s="74">
        <f>G48+G43</f>
        <v>0</v>
      </c>
      <c r="H49" s="74">
        <f>SUM(D49:G49)</f>
        <v>21247944</v>
      </c>
      <c r="I49" s="48"/>
    </row>
    <row r="50" spans="1:17" ht="12.75" customHeight="1" x14ac:dyDescent="0.2">
      <c r="A50" s="113" t="s">
        <v>77</v>
      </c>
      <c r="B50" s="114"/>
      <c r="C50" s="114"/>
      <c r="D50" s="114"/>
      <c r="E50" s="114"/>
      <c r="F50" s="114"/>
      <c r="G50" s="114"/>
      <c r="H50" s="115"/>
    </row>
    <row r="51" spans="1:17" s="38" customFormat="1" x14ac:dyDescent="0.2">
      <c r="A51" s="37" t="s">
        <v>56</v>
      </c>
      <c r="B51" s="18">
        <v>2021</v>
      </c>
      <c r="C51" s="64">
        <v>1.0509999999999999</v>
      </c>
      <c r="D51" s="46">
        <f>ROUND(D49*$C$51,0)</f>
        <v>962962</v>
      </c>
      <c r="E51" s="46">
        <f>ROUND(E49*$C$51,0)</f>
        <v>20610331</v>
      </c>
      <c r="F51" s="46">
        <f>ROUND(F49*$C$51,0)</f>
        <v>758297</v>
      </c>
      <c r="G51" s="46">
        <f>ROUND(G49*$C$51,0)</f>
        <v>0</v>
      </c>
      <c r="H51" s="47">
        <f t="shared" ref="H51:H54" si="8">D51+E51+F51+G51</f>
        <v>22331590</v>
      </c>
      <c r="I51" s="87"/>
    </row>
    <row r="52" spans="1:17" s="38" customFormat="1" x14ac:dyDescent="0.2">
      <c r="A52" s="37" t="s">
        <v>23</v>
      </c>
      <c r="B52" s="18">
        <v>2022</v>
      </c>
      <c r="C52" s="64">
        <v>1.048</v>
      </c>
      <c r="D52" s="46">
        <v>0</v>
      </c>
      <c r="E52" s="46">
        <v>0</v>
      </c>
      <c r="F52" s="46">
        <v>0</v>
      </c>
      <c r="G52" s="46">
        <v>0</v>
      </c>
      <c r="H52" s="47">
        <f>D52+E52+F52+G52</f>
        <v>0</v>
      </c>
      <c r="I52" s="4"/>
      <c r="O52" s="39"/>
      <c r="P52" s="39"/>
    </row>
    <row r="53" spans="1:17" s="38" customFormat="1" x14ac:dyDescent="0.2">
      <c r="A53" s="37" t="s">
        <v>54</v>
      </c>
      <c r="B53" s="18">
        <v>2023</v>
      </c>
      <c r="C53" s="64">
        <v>1.0469999999999999</v>
      </c>
      <c r="D53" s="46">
        <v>0</v>
      </c>
      <c r="E53" s="46">
        <v>0</v>
      </c>
      <c r="F53" s="46">
        <v>0</v>
      </c>
      <c r="G53" s="46">
        <v>0</v>
      </c>
      <c r="H53" s="47">
        <f t="shared" si="8"/>
        <v>0</v>
      </c>
      <c r="I53" s="4"/>
      <c r="O53" s="40"/>
      <c r="P53" s="39"/>
    </row>
    <row r="54" spans="1:17" s="38" customFormat="1" x14ac:dyDescent="0.2">
      <c r="A54" s="37" t="s">
        <v>55</v>
      </c>
      <c r="B54" s="18">
        <v>2024</v>
      </c>
      <c r="C54" s="64">
        <v>1.038</v>
      </c>
      <c r="D54" s="46">
        <v>0</v>
      </c>
      <c r="E54" s="46">
        <v>0</v>
      </c>
      <c r="F54" s="46">
        <v>0</v>
      </c>
      <c r="G54" s="46">
        <v>0</v>
      </c>
      <c r="H54" s="47">
        <f t="shared" si="8"/>
        <v>0</v>
      </c>
      <c r="I54" s="4"/>
      <c r="O54" s="40"/>
      <c r="P54" s="39"/>
    </row>
    <row r="55" spans="1:17" s="38" customFormat="1" x14ac:dyDescent="0.2">
      <c r="A55" s="37" t="s">
        <v>55</v>
      </c>
      <c r="B55" s="18">
        <v>2025</v>
      </c>
      <c r="C55" s="64">
        <v>1.0429999999999999</v>
      </c>
      <c r="D55" s="46">
        <v>0</v>
      </c>
      <c r="E55" s="46">
        <v>0</v>
      </c>
      <c r="F55" s="46">
        <v>0</v>
      </c>
      <c r="G55" s="46">
        <v>0</v>
      </c>
      <c r="H55" s="47">
        <f t="shared" ref="H55" si="9">D55+E55+F55+G55</f>
        <v>0</v>
      </c>
      <c r="I55" s="4"/>
      <c r="O55" s="40"/>
      <c r="P55" s="39"/>
    </row>
    <row r="56" spans="1:17" ht="16.5" customHeight="1" x14ac:dyDescent="0.2">
      <c r="A56" s="116" t="s">
        <v>78</v>
      </c>
      <c r="B56" s="117"/>
      <c r="C56" s="118"/>
      <c r="D56" s="53">
        <f>D55+D51+D52+D53+D54</f>
        <v>962962</v>
      </c>
      <c r="E56" s="53">
        <f t="shared" ref="E56:G56" si="10">E55+E51+E52+E53+E54</f>
        <v>20610331</v>
      </c>
      <c r="F56" s="53">
        <f t="shared" si="10"/>
        <v>758297</v>
      </c>
      <c r="G56" s="53">
        <f t="shared" si="10"/>
        <v>0</v>
      </c>
      <c r="H56" s="53">
        <f>D56+E56+F56+G56</f>
        <v>22331590</v>
      </c>
      <c r="I56" s="83"/>
    </row>
    <row r="57" spans="1:17" s="36" customFormat="1" ht="18" customHeight="1" x14ac:dyDescent="0.2">
      <c r="A57" s="116" t="s">
        <v>76</v>
      </c>
      <c r="B57" s="117"/>
      <c r="C57" s="118"/>
      <c r="D57" s="75">
        <f>ROUND(D56*0.2,2)</f>
        <v>192592.4</v>
      </c>
      <c r="E57" s="75">
        <f t="shared" ref="E57:G57" si="11">ROUND(E56*0.2,2)</f>
        <v>4122066.2</v>
      </c>
      <c r="F57" s="75">
        <f t="shared" si="11"/>
        <v>151659.4</v>
      </c>
      <c r="G57" s="75">
        <f t="shared" si="11"/>
        <v>0</v>
      </c>
      <c r="H57" s="75">
        <f>SUM(D57:G57)</f>
        <v>4466318.0000000009</v>
      </c>
    </row>
    <row r="58" spans="1:17" ht="16.5" customHeight="1" x14ac:dyDescent="0.2">
      <c r="A58" s="116" t="s">
        <v>79</v>
      </c>
      <c r="B58" s="117"/>
      <c r="C58" s="118"/>
      <c r="D58" s="53">
        <f>D56+D57</f>
        <v>1155554.3999999999</v>
      </c>
      <c r="E58" s="53">
        <f t="shared" ref="E58:G58" si="12">E56+E57</f>
        <v>24732397.199999999</v>
      </c>
      <c r="F58" s="53">
        <f t="shared" si="12"/>
        <v>909956.4</v>
      </c>
      <c r="G58" s="53">
        <f t="shared" si="12"/>
        <v>0</v>
      </c>
      <c r="H58" s="53">
        <f>D58+E58+F58+G58</f>
        <v>26797907.999999996</v>
      </c>
    </row>
    <row r="60" spans="1:17" s="95" customFormat="1" ht="15" x14ac:dyDescent="0.25">
      <c r="A60" s="93"/>
      <c r="B60" s="94" t="s">
        <v>87</v>
      </c>
      <c r="D60" s="96"/>
      <c r="E60" s="97"/>
      <c r="F60" s="98"/>
      <c r="G60" s="109" t="s">
        <v>88</v>
      </c>
      <c r="H60" s="109"/>
      <c r="L60" s="99"/>
      <c r="M60" s="99"/>
      <c r="N60" s="93"/>
      <c r="O60" s="93"/>
      <c r="P60" s="93"/>
      <c r="Q60" s="93"/>
    </row>
    <row r="61" spans="1:17" s="95" customFormat="1" ht="15" customHeight="1" x14ac:dyDescent="0.25">
      <c r="A61" s="100"/>
      <c r="B61" s="101"/>
      <c r="D61" s="101"/>
      <c r="E61" s="101"/>
      <c r="F61" s="98"/>
      <c r="G61" s="98"/>
      <c r="H61" s="101"/>
      <c r="L61" s="101"/>
      <c r="M61" s="101"/>
      <c r="N61" s="101"/>
      <c r="O61" s="101"/>
      <c r="P61" s="101"/>
      <c r="Q61" s="101"/>
    </row>
    <row r="62" spans="1:17" s="95" customFormat="1" ht="18.75" customHeight="1" x14ac:dyDescent="0.25">
      <c r="A62" s="93"/>
      <c r="B62" s="94" t="s">
        <v>89</v>
      </c>
      <c r="D62" s="102"/>
      <c r="E62" s="97"/>
      <c r="F62" s="98"/>
      <c r="G62" s="110" t="s">
        <v>90</v>
      </c>
      <c r="H62" s="110"/>
      <c r="L62" s="103"/>
      <c r="M62" s="103"/>
      <c r="N62" s="93"/>
      <c r="O62" s="93"/>
      <c r="P62" s="93"/>
      <c r="Q62" s="93"/>
    </row>
    <row r="63" spans="1:17" s="95" customFormat="1" ht="15" customHeight="1" x14ac:dyDescent="0.25">
      <c r="A63" s="100"/>
      <c r="B63" s="101"/>
      <c r="D63" s="101"/>
      <c r="E63" s="101"/>
      <c r="F63" s="98"/>
      <c r="G63" s="98"/>
      <c r="H63" s="101"/>
      <c r="L63" s="101"/>
      <c r="M63" s="101"/>
      <c r="N63" s="101"/>
      <c r="O63" s="101"/>
      <c r="P63" s="101"/>
      <c r="Q63" s="101"/>
    </row>
    <row r="64" spans="1:17" s="95" customFormat="1" ht="15.75" customHeight="1" x14ac:dyDescent="0.25">
      <c r="A64" s="93"/>
      <c r="B64" s="94" t="s">
        <v>91</v>
      </c>
      <c r="D64" s="102"/>
      <c r="E64" s="97"/>
      <c r="F64" s="98"/>
      <c r="G64" s="110" t="s">
        <v>92</v>
      </c>
      <c r="H64" s="110"/>
      <c r="L64" s="103"/>
      <c r="M64" s="103"/>
      <c r="N64" s="93"/>
      <c r="O64" s="93"/>
      <c r="P64" s="93"/>
      <c r="Q64" s="93"/>
    </row>
    <row r="65" spans="1:17" s="95" customFormat="1" ht="15" x14ac:dyDescent="0.25">
      <c r="A65" s="93"/>
      <c r="B65" s="97"/>
      <c r="D65" s="97"/>
      <c r="E65" s="97"/>
      <c r="F65" s="98"/>
      <c r="G65" s="98"/>
      <c r="H65" s="97"/>
      <c r="L65" s="98"/>
      <c r="M65" s="93"/>
      <c r="N65" s="93"/>
      <c r="O65" s="93"/>
      <c r="P65" s="93"/>
      <c r="Q65" s="93"/>
    </row>
    <row r="66" spans="1:17" s="95" customFormat="1" ht="15" customHeight="1" x14ac:dyDescent="0.25">
      <c r="A66" s="93"/>
      <c r="B66" s="94" t="s">
        <v>93</v>
      </c>
      <c r="D66" s="104"/>
      <c r="E66" s="97"/>
      <c r="F66" s="98"/>
      <c r="G66" s="110" t="s">
        <v>94</v>
      </c>
      <c r="H66" s="110"/>
      <c r="L66" s="103"/>
      <c r="M66" s="103"/>
      <c r="N66" s="93"/>
      <c r="O66" s="93"/>
      <c r="P66" s="93"/>
      <c r="Q66" s="93"/>
    </row>
  </sheetData>
  <mergeCells count="33">
    <mergeCell ref="A44:H44"/>
    <mergeCell ref="B45:C45"/>
    <mergeCell ref="A46:H46"/>
    <mergeCell ref="B48:C48"/>
    <mergeCell ref="A37:H37"/>
    <mergeCell ref="B38:C38"/>
    <mergeCell ref="A39:H39"/>
    <mergeCell ref="B42:C42"/>
    <mergeCell ref="B43:C43"/>
    <mergeCell ref="B36:C36"/>
    <mergeCell ref="A8:A11"/>
    <mergeCell ref="B8:B11"/>
    <mergeCell ref="C8:C11"/>
    <mergeCell ref="A35:H35"/>
    <mergeCell ref="D8:G8"/>
    <mergeCell ref="A13:H13"/>
    <mergeCell ref="B32:C32"/>
    <mergeCell ref="A33:H33"/>
    <mergeCell ref="B34:C34"/>
    <mergeCell ref="H8:H11"/>
    <mergeCell ref="D9:D11"/>
    <mergeCell ref="E9:E11"/>
    <mergeCell ref="F9:F11"/>
    <mergeCell ref="G9:G11"/>
    <mergeCell ref="G60:H60"/>
    <mergeCell ref="G62:H62"/>
    <mergeCell ref="G64:H64"/>
    <mergeCell ref="G66:H66"/>
    <mergeCell ref="B49:C49"/>
    <mergeCell ref="A50:H50"/>
    <mergeCell ref="A56:C56"/>
    <mergeCell ref="A58:C58"/>
    <mergeCell ref="A57:C57"/>
  </mergeCells>
  <pageMargins left="0.78740157480314965" right="0.39370078740157483" top="0.43307086614173229" bottom="0.47244094488188981" header="0.23622047244094491" footer="0.23622047244094491"/>
  <pageSetup paperSize="9" scale="91" fitToHeight="100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view="pageBreakPreview" topLeftCell="A30" zoomScale="85" zoomScaleNormal="85" zoomScaleSheetLayoutView="85" workbookViewId="0">
      <selection activeCell="B34" sqref="B34:L34"/>
    </sheetView>
  </sheetViews>
  <sheetFormatPr defaultRowHeight="12.75" x14ac:dyDescent="0.2"/>
  <cols>
    <col min="1" max="1" width="3.85546875" style="19" customWidth="1"/>
    <col min="2" max="2" width="34.42578125" style="19" customWidth="1"/>
    <col min="3" max="3" width="10.28515625" style="19" customWidth="1"/>
    <col min="4" max="4" width="11" style="19" customWidth="1"/>
    <col min="5" max="5" width="7.85546875" style="19" customWidth="1"/>
    <col min="6" max="6" width="16.85546875" style="19" customWidth="1"/>
    <col min="7" max="7" width="13.42578125" style="19" customWidth="1"/>
    <col min="8" max="12" width="15.7109375" style="19" customWidth="1"/>
    <col min="13" max="14" width="12.85546875" style="19" customWidth="1"/>
    <col min="15" max="15" width="11.42578125" style="19" customWidth="1"/>
    <col min="16" max="16384" width="9.140625" style="19"/>
  </cols>
  <sheetData>
    <row r="1" spans="1:15" ht="18.75" x14ac:dyDescent="0.3">
      <c r="A1" s="129" t="s">
        <v>53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5" x14ac:dyDescent="0.2">
      <c r="G2" s="33"/>
    </row>
    <row r="3" spans="1:15" s="76" customFormat="1" ht="15" customHeight="1" x14ac:dyDescent="0.25">
      <c r="A3" s="135" t="s">
        <v>52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1:15" s="78" customFormat="1" ht="15" x14ac:dyDescent="0.25">
      <c r="A4" s="136" t="s">
        <v>74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77"/>
    </row>
    <row r="5" spans="1:15" s="80" customFormat="1" ht="15.75" customHeight="1" x14ac:dyDescent="0.25">
      <c r="A5" s="79"/>
      <c r="B5" s="134" t="s">
        <v>73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79"/>
      <c r="N5" s="79"/>
      <c r="O5" s="79"/>
    </row>
    <row r="6" spans="1:15" ht="15.75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5" s="31" customFormat="1" ht="15.75" x14ac:dyDescent="0.25">
      <c r="A7" s="32"/>
      <c r="B7" s="91" t="str">
        <f>Т!D3</f>
        <v>Реконструкция распределительных сетей 6/0,4 кВ п. Шкотово, п. Смоляниново, с. Романовка, ПС Верхняя</v>
      </c>
      <c r="C7" s="92"/>
      <c r="D7" s="92"/>
      <c r="E7" s="92"/>
      <c r="F7" s="92"/>
      <c r="G7" s="92"/>
      <c r="H7" s="106"/>
      <c r="I7" s="107"/>
      <c r="J7" s="108"/>
      <c r="K7" s="108"/>
    </row>
    <row r="9" spans="1:15" x14ac:dyDescent="0.2">
      <c r="A9" s="130" t="s">
        <v>51</v>
      </c>
      <c r="B9" s="130" t="s">
        <v>50</v>
      </c>
      <c r="C9" s="130" t="s">
        <v>49</v>
      </c>
      <c r="D9" s="130" t="s">
        <v>48</v>
      </c>
      <c r="E9" s="130" t="s">
        <v>47</v>
      </c>
      <c r="F9" s="138" t="s">
        <v>46</v>
      </c>
      <c r="G9" s="130" t="s">
        <v>45</v>
      </c>
      <c r="H9" s="130" t="s">
        <v>75</v>
      </c>
      <c r="I9" s="130"/>
      <c r="J9" s="130"/>
      <c r="K9" s="130"/>
      <c r="L9" s="132" t="s">
        <v>44</v>
      </c>
      <c r="M9" s="137" t="s">
        <v>43</v>
      </c>
      <c r="N9" s="137"/>
      <c r="O9" s="81"/>
    </row>
    <row r="10" spans="1:15" ht="72" customHeight="1" x14ac:dyDescent="0.2">
      <c r="A10" s="130"/>
      <c r="B10" s="130"/>
      <c r="C10" s="130"/>
      <c r="D10" s="131"/>
      <c r="E10" s="130"/>
      <c r="F10" s="138"/>
      <c r="G10" s="131"/>
      <c r="H10" s="30" t="s">
        <v>80</v>
      </c>
      <c r="I10" s="30" t="s">
        <v>42</v>
      </c>
      <c r="J10" s="30" t="s">
        <v>41</v>
      </c>
      <c r="K10" s="30" t="s">
        <v>40</v>
      </c>
      <c r="L10" s="133"/>
      <c r="M10" s="29" t="s">
        <v>21</v>
      </c>
      <c r="N10" s="29" t="s">
        <v>39</v>
      </c>
    </row>
    <row r="11" spans="1:15" ht="58.5" customHeight="1" x14ac:dyDescent="0.2">
      <c r="A11" s="88">
        <v>1</v>
      </c>
      <c r="B11" s="105" t="s">
        <v>96</v>
      </c>
      <c r="C11" s="54" t="s">
        <v>59</v>
      </c>
      <c r="D11" s="90">
        <v>319.2</v>
      </c>
      <c r="E11" s="55">
        <v>0.1</v>
      </c>
      <c r="F11" s="55">
        <f>ROUND(((1.5+2.5+7.5+5+1.5)/100+1)*1.12,3)</f>
        <v>1.3220000000000001</v>
      </c>
      <c r="G11" s="56">
        <f t="shared" ref="G11:G13" si="0">ROUND((D11*E11*F11),2)</f>
        <v>42.2</v>
      </c>
      <c r="H11" s="57">
        <f>ROUND(((0.8*G11*1.09*$H$31*1000*6.49)-(2*10000+0.1*110500)),0)</f>
        <v>103383</v>
      </c>
      <c r="I11" s="57">
        <f>ROUND((0.04*G11*1.09*$H$31*1000*5.27),0)</f>
        <v>5458</v>
      </c>
      <c r="J11" s="57">
        <f>ROUND((0*G11*1.09*$H$31*1000*27.94),0)</f>
        <v>0</v>
      </c>
      <c r="K11" s="57">
        <f>ROUND((0.16*G11*1.09*$H$31*1000*10.42),0)</f>
        <v>43168</v>
      </c>
      <c r="L11" s="70">
        <f t="shared" ref="L11" si="1">SUM(H11:K11)</f>
        <v>152009</v>
      </c>
      <c r="M11" s="66">
        <f t="shared" ref="M11" si="2">ROUND((L11*0.07)*0.6,0)</f>
        <v>6384</v>
      </c>
      <c r="N11" s="66">
        <f t="shared" ref="N11" si="3">ROUND((L11*0.026),0)</f>
        <v>3952</v>
      </c>
      <c r="O11" s="86"/>
    </row>
    <row r="12" spans="1:15" ht="58.5" customHeight="1" x14ac:dyDescent="0.2">
      <c r="A12" s="89">
        <v>2</v>
      </c>
      <c r="B12" s="105" t="s">
        <v>97</v>
      </c>
      <c r="C12" s="54" t="s">
        <v>59</v>
      </c>
      <c r="D12" s="90">
        <v>319.2</v>
      </c>
      <c r="E12" s="55">
        <v>0.6</v>
      </c>
      <c r="F12" s="55">
        <f>ROUND(((1.5+2.5+7.5+5+1.5)/100+1)*1.12,3)</f>
        <v>1.3220000000000001</v>
      </c>
      <c r="G12" s="56">
        <f t="shared" ref="G12" si="4">ROUND((D12*E12*F12),2)</f>
        <v>253.19</v>
      </c>
      <c r="H12" s="57">
        <f>ROUND(((0.8*G12*1.09*$H$31*1000*6.49)-(11*10000+0.6*110500)),0)</f>
        <v>630264</v>
      </c>
      <c r="I12" s="57">
        <f>ROUND((0.04*G12*1.09*$H$31*1000*5.27),0)</f>
        <v>32747</v>
      </c>
      <c r="J12" s="57">
        <f>ROUND((0*G12*1.09*$H$31*1000*27.94),0)</f>
        <v>0</v>
      </c>
      <c r="K12" s="57">
        <f>ROUND((0.16*G12*1.09*$H$31*1000*10.42),0)</f>
        <v>258995</v>
      </c>
      <c r="L12" s="70">
        <f t="shared" ref="L12" si="5">SUM(H12:K12)</f>
        <v>922006</v>
      </c>
      <c r="M12" s="66">
        <f t="shared" ref="M12" si="6">ROUND((L12*0.07)*0.6,0)</f>
        <v>38724</v>
      </c>
      <c r="N12" s="66">
        <f t="shared" ref="N12" si="7">ROUND((L12*0.026),0)</f>
        <v>23972</v>
      </c>
      <c r="O12" s="86"/>
    </row>
    <row r="13" spans="1:15" ht="45" customHeight="1" x14ac:dyDescent="0.2">
      <c r="A13" s="89">
        <v>3</v>
      </c>
      <c r="B13" s="105" t="s">
        <v>98</v>
      </c>
      <c r="C13" s="54" t="s">
        <v>82</v>
      </c>
      <c r="D13" s="90">
        <v>204.7</v>
      </c>
      <c r="E13" s="55">
        <v>1</v>
      </c>
      <c r="F13" s="55">
        <f t="shared" ref="F13:F16" si="8">ROUND(((1.5+2.5+7.5+5+1.5)/100+1)*1.09,3)</f>
        <v>1.286</v>
      </c>
      <c r="G13" s="56">
        <f t="shared" si="0"/>
        <v>263.24</v>
      </c>
      <c r="H13" s="57">
        <f>ROUND((0.455*G13*1.09*$H$31*1000*10.14),0)</f>
        <v>745176</v>
      </c>
      <c r="I13" s="57">
        <f t="shared" ref="I13" si="9">ROUND((0.3*G13*1.09*$H$31*1000*5.27),0)*0</f>
        <v>0</v>
      </c>
      <c r="J13" s="57">
        <f t="shared" ref="J13" si="10">ROUND((0.025*G13*1.09*$H$31*1000*27.94),0)</f>
        <v>112817</v>
      </c>
      <c r="K13" s="57">
        <f t="shared" ref="K13" si="11">ROUND((0.22*G13*1.09*$H$31*1000*10.42),0)</f>
        <v>370254</v>
      </c>
      <c r="L13" s="70">
        <f t="shared" ref="L13" si="12">SUM(H13:K13)</f>
        <v>1228247</v>
      </c>
      <c r="M13" s="66">
        <f t="shared" ref="M13" si="13">ROUND((L13*0.07)*0.6,0)</f>
        <v>51586</v>
      </c>
      <c r="N13" s="66">
        <f t="shared" ref="N13" si="14">ROUND((L13*0.026),0)</f>
        <v>31934</v>
      </c>
      <c r="O13" s="86"/>
    </row>
    <row r="14" spans="1:15" ht="58.5" customHeight="1" x14ac:dyDescent="0.2">
      <c r="A14" s="89">
        <v>4</v>
      </c>
      <c r="B14" s="105" t="s">
        <v>99</v>
      </c>
      <c r="C14" s="54" t="s">
        <v>59</v>
      </c>
      <c r="D14" s="90">
        <v>229.2</v>
      </c>
      <c r="E14" s="55">
        <v>3.6</v>
      </c>
      <c r="F14" s="55">
        <f>ROUND(((1.5+2.5+7.5+5+1.5)/100+1)*1.12,3)</f>
        <v>1.3220000000000001</v>
      </c>
      <c r="G14" s="56">
        <f t="shared" ref="G14" si="15">ROUND((D14*E14*F14),2)</f>
        <v>1090.81</v>
      </c>
      <c r="H14" s="57">
        <f>ROUND(((0.8*G14*1.09*$H$31*1000*6.49)-(92*10000+3.6*110500)),0)</f>
        <v>2157091</v>
      </c>
      <c r="I14" s="57">
        <f>ROUND((0.04*G14*1.09*$H$31*1000*5.27),0)</f>
        <v>141084</v>
      </c>
      <c r="J14" s="57">
        <f>ROUND((0*G14*1.09*$H$31*1000*27.94),0)</f>
        <v>0</v>
      </c>
      <c r="K14" s="57">
        <f>ROUND((0.16*G14*1.09*$H$31*1000*10.42),0)</f>
        <v>1115820</v>
      </c>
      <c r="L14" s="70">
        <f t="shared" ref="L14" si="16">SUM(H14:K14)</f>
        <v>3413995</v>
      </c>
      <c r="M14" s="66">
        <f t="shared" ref="M14" si="17">ROUND((L14*0.07)*0.6,0)</f>
        <v>143388</v>
      </c>
      <c r="N14" s="66">
        <f t="shared" ref="N14" si="18">ROUND((L14*0.026),0)</f>
        <v>88764</v>
      </c>
      <c r="O14" s="86"/>
    </row>
    <row r="15" spans="1:15" ht="58.5" customHeight="1" x14ac:dyDescent="0.2">
      <c r="A15" s="89">
        <v>5</v>
      </c>
      <c r="B15" s="105" t="s">
        <v>100</v>
      </c>
      <c r="C15" s="54" t="s">
        <v>59</v>
      </c>
      <c r="D15" s="90">
        <v>229.2</v>
      </c>
      <c r="E15" s="55">
        <v>0.3</v>
      </c>
      <c r="F15" s="55">
        <f>ROUND(((1.5+2.5+7.5+5+1.5)/100+1)*1.12,3)</f>
        <v>1.3220000000000001</v>
      </c>
      <c r="G15" s="56">
        <f t="shared" ref="G15:G17" si="19">ROUND((D15*E15*F15),2)</f>
        <v>90.9</v>
      </c>
      <c r="H15" s="57">
        <f>ROUND(((0.8*G15*1.09*$H$31*1000*6.49)-(9*10000+0.3*110500)),0)</f>
        <v>166422</v>
      </c>
      <c r="I15" s="57">
        <f>ROUND((0.04*G15*1.09*$H$31*1000*5.27),0)</f>
        <v>11757</v>
      </c>
      <c r="J15" s="57">
        <f>ROUND((0*G15*1.09*$H$31*1000*27.94),0)</f>
        <v>0</v>
      </c>
      <c r="K15" s="57">
        <f>ROUND((0.16*G15*1.09*$H$31*1000*10.42),0)</f>
        <v>92984</v>
      </c>
      <c r="L15" s="70">
        <f t="shared" ref="L15:L17" si="20">SUM(H15:K15)</f>
        <v>271163</v>
      </c>
      <c r="M15" s="66">
        <f t="shared" ref="M15:M17" si="21">ROUND((L15*0.07)*0.6,0)</f>
        <v>11389</v>
      </c>
      <c r="N15" s="66">
        <f t="shared" ref="N15:N17" si="22">ROUND((L15*0.026),0)</f>
        <v>7050</v>
      </c>
      <c r="O15" s="86"/>
    </row>
    <row r="16" spans="1:15" ht="45" customHeight="1" x14ac:dyDescent="0.2">
      <c r="A16" s="89">
        <v>6</v>
      </c>
      <c r="B16" s="105" t="s">
        <v>101</v>
      </c>
      <c r="C16" s="54" t="s">
        <v>82</v>
      </c>
      <c r="D16" s="90">
        <v>204.7</v>
      </c>
      <c r="E16" s="55">
        <v>1</v>
      </c>
      <c r="F16" s="55">
        <f t="shared" si="8"/>
        <v>1.286</v>
      </c>
      <c r="G16" s="56">
        <f t="shared" si="19"/>
        <v>263.24</v>
      </c>
      <c r="H16" s="57">
        <f>ROUND((0.455*G16*1.09*$H$31*1000*10.14),0)</f>
        <v>745176</v>
      </c>
      <c r="I16" s="57">
        <f t="shared" ref="I16" si="23">ROUND((0.3*G16*1.09*$H$31*1000*5.27),0)*0</f>
        <v>0</v>
      </c>
      <c r="J16" s="57">
        <f t="shared" ref="J16" si="24">ROUND((0.025*G16*1.09*$H$31*1000*27.94),0)</f>
        <v>112817</v>
      </c>
      <c r="K16" s="57">
        <f t="shared" ref="K16" si="25">ROUND((0.22*G16*1.09*$H$31*1000*10.42),0)</f>
        <v>370254</v>
      </c>
      <c r="L16" s="70">
        <f t="shared" si="20"/>
        <v>1228247</v>
      </c>
      <c r="M16" s="66">
        <f t="shared" si="21"/>
        <v>51586</v>
      </c>
      <c r="N16" s="66">
        <f t="shared" si="22"/>
        <v>31934</v>
      </c>
      <c r="O16" s="86"/>
    </row>
    <row r="17" spans="1:15" ht="58.5" customHeight="1" x14ac:dyDescent="0.2">
      <c r="A17" s="89">
        <v>7</v>
      </c>
      <c r="B17" s="105" t="s">
        <v>102</v>
      </c>
      <c r="C17" s="54" t="s">
        <v>59</v>
      </c>
      <c r="D17" s="90">
        <v>229.2</v>
      </c>
      <c r="E17" s="55">
        <v>0.4</v>
      </c>
      <c r="F17" s="55">
        <f>ROUND(((1.5+2.5+7.5+5+1.5)/100+1)*1.12,3)</f>
        <v>1.3220000000000001</v>
      </c>
      <c r="G17" s="56">
        <f t="shared" si="19"/>
        <v>121.2</v>
      </c>
      <c r="H17" s="57">
        <f>ROUND(((0.8*G17*1.09*$H$31*1000*6.49)-(4*10000+0.4*110500)),0)</f>
        <v>301895</v>
      </c>
      <c r="I17" s="57">
        <f>ROUND((0.04*G17*1.09*$H$31*1000*5.27),0)</f>
        <v>15676</v>
      </c>
      <c r="J17" s="57">
        <f>ROUND((0*G17*1.09*$H$31*1000*27.94),0)</f>
        <v>0</v>
      </c>
      <c r="K17" s="57">
        <f>ROUND((0.16*G17*1.09*$H$31*1000*10.42),0)</f>
        <v>123979</v>
      </c>
      <c r="L17" s="70">
        <f t="shared" si="20"/>
        <v>441550</v>
      </c>
      <c r="M17" s="66">
        <f t="shared" si="21"/>
        <v>18545</v>
      </c>
      <c r="N17" s="66">
        <f t="shared" si="22"/>
        <v>11480</v>
      </c>
      <c r="O17" s="86"/>
    </row>
    <row r="18" spans="1:15" ht="58.5" customHeight="1" x14ac:dyDescent="0.2">
      <c r="A18" s="89">
        <v>8</v>
      </c>
      <c r="B18" s="105" t="s">
        <v>103</v>
      </c>
      <c r="C18" s="54" t="s">
        <v>59</v>
      </c>
      <c r="D18" s="90">
        <v>229.2</v>
      </c>
      <c r="E18" s="55">
        <v>0.4</v>
      </c>
      <c r="F18" s="55">
        <f>ROUND(((1.5+2.5+7.5+5+1.5)/100+1)*1.12,3)</f>
        <v>1.3220000000000001</v>
      </c>
      <c r="G18" s="56">
        <f t="shared" ref="G18:G19" si="26">ROUND((D18*E18*F18),2)</f>
        <v>121.2</v>
      </c>
      <c r="H18" s="57">
        <f>ROUND(((0.8*G18*1.09*$H$31*1000*6.49)-(9*10000+0.4*110500)),0)</f>
        <v>251895</v>
      </c>
      <c r="I18" s="57">
        <f>ROUND((0.04*G18*1.09*$H$31*1000*5.27),0)</f>
        <v>15676</v>
      </c>
      <c r="J18" s="57">
        <f>ROUND((0*G18*1.09*$H$31*1000*27.94),0)</f>
        <v>0</v>
      </c>
      <c r="K18" s="57">
        <f>ROUND((0.16*G18*1.09*$H$31*1000*10.42),0)</f>
        <v>123979</v>
      </c>
      <c r="L18" s="70">
        <f t="shared" ref="L18:L19" si="27">SUM(H18:K18)</f>
        <v>391550</v>
      </c>
      <c r="M18" s="66">
        <f t="shared" ref="M18:M19" si="28">ROUND((L18*0.07)*0.6,0)</f>
        <v>16445</v>
      </c>
      <c r="N18" s="66">
        <f t="shared" ref="N18:N19" si="29">ROUND((L18*0.026),0)</f>
        <v>10180</v>
      </c>
      <c r="O18" s="86"/>
    </row>
    <row r="19" spans="1:15" ht="58.5" customHeight="1" x14ac:dyDescent="0.2">
      <c r="A19" s="89">
        <v>9</v>
      </c>
      <c r="B19" s="105" t="s">
        <v>104</v>
      </c>
      <c r="C19" s="54" t="s">
        <v>59</v>
      </c>
      <c r="D19" s="90">
        <v>229.2</v>
      </c>
      <c r="E19" s="55">
        <v>0.4</v>
      </c>
      <c r="F19" s="55">
        <f>ROUND(((1.5+2.5+7.5+5+1.5)/100+1)*1.12,3)</f>
        <v>1.3220000000000001</v>
      </c>
      <c r="G19" s="56">
        <f t="shared" si="26"/>
        <v>121.2</v>
      </c>
      <c r="H19" s="57">
        <f>ROUND(((0.8*G19*1.09*$H$31*1000*6.49)-(11*10000+0.4*110500)),0)</f>
        <v>231895</v>
      </c>
      <c r="I19" s="57">
        <f>ROUND((0.04*G19*1.09*$H$31*1000*5.27),0)</f>
        <v>15676</v>
      </c>
      <c r="J19" s="57">
        <f>ROUND((0*G19*1.09*$H$31*1000*27.94),0)</f>
        <v>0</v>
      </c>
      <c r="K19" s="57">
        <f>ROUND((0.16*G19*1.09*$H$31*1000*10.42),0)</f>
        <v>123979</v>
      </c>
      <c r="L19" s="70">
        <f t="shared" si="27"/>
        <v>371550</v>
      </c>
      <c r="M19" s="66">
        <f t="shared" si="28"/>
        <v>15605</v>
      </c>
      <c r="N19" s="66">
        <f t="shared" si="29"/>
        <v>9660</v>
      </c>
      <c r="O19" s="86"/>
    </row>
    <row r="20" spans="1:15" ht="58.5" customHeight="1" x14ac:dyDescent="0.2">
      <c r="A20" s="89">
        <v>10</v>
      </c>
      <c r="B20" s="105" t="s">
        <v>105</v>
      </c>
      <c r="C20" s="54" t="s">
        <v>59</v>
      </c>
      <c r="D20" s="90">
        <v>229.2</v>
      </c>
      <c r="E20" s="55">
        <v>1.7</v>
      </c>
      <c r="F20" s="55">
        <f>ROUND(((1.5+2.5+7.5+5+1.5)/100+1)*1.12,3)</f>
        <v>1.3220000000000001</v>
      </c>
      <c r="G20" s="56">
        <f t="shared" ref="G20:G22" si="30">ROUND((D20*E20*F20),2)</f>
        <v>515.1</v>
      </c>
      <c r="H20" s="57">
        <f>ROUND(((0.8*G20*1.09*$H$31*1000*6.49)-(44*10000+1.7*110500)),0)</f>
        <v>1013056</v>
      </c>
      <c r="I20" s="57">
        <f>ROUND((0.04*G20*1.09*$H$31*1000*5.27),0)</f>
        <v>66622</v>
      </c>
      <c r="J20" s="57">
        <f>ROUND((0*G20*1.09*$H$31*1000*27.94),0)</f>
        <v>0</v>
      </c>
      <c r="K20" s="57">
        <f>ROUND((0.16*G20*1.09*$H$31*1000*10.42),0)</f>
        <v>526910</v>
      </c>
      <c r="L20" s="70">
        <f t="shared" ref="L20:L22" si="31">SUM(H20:K20)</f>
        <v>1606588</v>
      </c>
      <c r="M20" s="66">
        <f t="shared" ref="M20:M22" si="32">ROUND((L20*0.07)*0.6,0)</f>
        <v>67477</v>
      </c>
      <c r="N20" s="66">
        <f t="shared" ref="N20:N22" si="33">ROUND((L20*0.026),0)</f>
        <v>41771</v>
      </c>
      <c r="O20" s="86"/>
    </row>
    <row r="21" spans="1:15" ht="58.5" customHeight="1" x14ac:dyDescent="0.2">
      <c r="A21" s="89">
        <v>11</v>
      </c>
      <c r="B21" s="105" t="s">
        <v>106</v>
      </c>
      <c r="C21" s="54" t="s">
        <v>59</v>
      </c>
      <c r="D21" s="90">
        <v>319.2</v>
      </c>
      <c r="E21" s="55">
        <v>0.3</v>
      </c>
      <c r="F21" s="55">
        <f t="shared" ref="F21:F22" si="34">ROUND(((1.5+2.5+7.5+5+1.5)/100+1)*1.12,3)</f>
        <v>1.3220000000000001</v>
      </c>
      <c r="G21" s="56">
        <f t="shared" si="30"/>
        <v>126.59</v>
      </c>
      <c r="H21" s="57">
        <f>ROUND(((0.8*G21*1.09*$H$31*1000*6.49)-(5*10000+0.3*110500)),0)</f>
        <v>320116</v>
      </c>
      <c r="I21" s="57">
        <f t="shared" ref="I21:I22" si="35">ROUND((0.04*G21*1.09*$H$31*1000*5.27),0)</f>
        <v>16373</v>
      </c>
      <c r="J21" s="57">
        <f t="shared" ref="J21:J22" si="36">ROUND((0*G21*1.09*$H$31*1000*27.94),0)</f>
        <v>0</v>
      </c>
      <c r="K21" s="57">
        <f t="shared" ref="K21:K22" si="37">ROUND((0.16*G21*1.09*$H$31*1000*10.42),0)</f>
        <v>129492</v>
      </c>
      <c r="L21" s="70">
        <f t="shared" si="31"/>
        <v>465981</v>
      </c>
      <c r="M21" s="66">
        <f t="shared" si="32"/>
        <v>19571</v>
      </c>
      <c r="N21" s="66">
        <f t="shared" si="33"/>
        <v>12116</v>
      </c>
      <c r="O21" s="86"/>
    </row>
    <row r="22" spans="1:15" ht="58.5" customHeight="1" x14ac:dyDescent="0.2">
      <c r="A22" s="89">
        <v>12</v>
      </c>
      <c r="B22" s="105" t="s">
        <v>107</v>
      </c>
      <c r="C22" s="54" t="s">
        <v>59</v>
      </c>
      <c r="D22" s="90">
        <v>319.2</v>
      </c>
      <c r="E22" s="55">
        <v>0.3</v>
      </c>
      <c r="F22" s="55">
        <f t="shared" si="34"/>
        <v>1.3220000000000001</v>
      </c>
      <c r="G22" s="56">
        <f t="shared" si="30"/>
        <v>126.59</v>
      </c>
      <c r="H22" s="57">
        <f>ROUND(((0.8*G22*1.09*$H$31*1000*6.49)-(8*10000+0.3*110500)),0)</f>
        <v>290116</v>
      </c>
      <c r="I22" s="57">
        <f t="shared" si="35"/>
        <v>16373</v>
      </c>
      <c r="J22" s="57">
        <f t="shared" si="36"/>
        <v>0</v>
      </c>
      <c r="K22" s="57">
        <f t="shared" si="37"/>
        <v>129492</v>
      </c>
      <c r="L22" s="70">
        <f t="shared" si="31"/>
        <v>435981</v>
      </c>
      <c r="M22" s="66">
        <f t="shared" si="32"/>
        <v>18311</v>
      </c>
      <c r="N22" s="66">
        <f t="shared" si="33"/>
        <v>11336</v>
      </c>
      <c r="O22" s="86"/>
    </row>
    <row r="23" spans="1:15" ht="58.5" customHeight="1" x14ac:dyDescent="0.2">
      <c r="A23" s="89">
        <v>13</v>
      </c>
      <c r="B23" s="105" t="s">
        <v>108</v>
      </c>
      <c r="C23" s="54" t="s">
        <v>59</v>
      </c>
      <c r="D23" s="90">
        <v>229.2</v>
      </c>
      <c r="E23" s="55">
        <v>3</v>
      </c>
      <c r="F23" s="55">
        <f>ROUND(((1.5+2.5+7.5+5+1.5)/100+1)*1.12,3)</f>
        <v>1.3220000000000001</v>
      </c>
      <c r="G23" s="56">
        <f t="shared" ref="G23:G24" si="38">ROUND((D23*E23*F23),2)</f>
        <v>909.01</v>
      </c>
      <c r="H23" s="57">
        <f>ROUND(((0.8*G23*1.09*$H$31*1000*6.49)-(66*10000+3*110500)),0)</f>
        <v>1904247</v>
      </c>
      <c r="I23" s="57">
        <f>ROUND((0.04*G23*1.09*$H$31*1000*5.27),0)</f>
        <v>117570</v>
      </c>
      <c r="J23" s="57">
        <f>ROUND((0*G23*1.09*$H$31*1000*27.94),0)</f>
        <v>0</v>
      </c>
      <c r="K23" s="57">
        <f>ROUND((0.16*G23*1.09*$H$31*1000*10.42),0)</f>
        <v>929852</v>
      </c>
      <c r="L23" s="70">
        <f t="shared" ref="L23:L24" si="39">SUM(H23:K23)</f>
        <v>2951669</v>
      </c>
      <c r="M23" s="66">
        <f t="shared" ref="M23:M24" si="40">ROUND((L23*0.07)*0.6,0)</f>
        <v>123970</v>
      </c>
      <c r="N23" s="66">
        <f t="shared" ref="N23:N24" si="41">ROUND((L23*0.026),0)</f>
        <v>76743</v>
      </c>
      <c r="O23" s="86"/>
    </row>
    <row r="24" spans="1:15" ht="45" customHeight="1" x14ac:dyDescent="0.2">
      <c r="A24" s="89">
        <v>14</v>
      </c>
      <c r="B24" s="105" t="s">
        <v>109</v>
      </c>
      <c r="C24" s="54" t="s">
        <v>82</v>
      </c>
      <c r="D24" s="90">
        <v>204.7</v>
      </c>
      <c r="E24" s="55">
        <v>1</v>
      </c>
      <c r="F24" s="55">
        <f t="shared" ref="F24" si="42">ROUND(((1.5+2.5+7.5+5+1.5)/100+1)*1.09,3)</f>
        <v>1.286</v>
      </c>
      <c r="G24" s="56">
        <f t="shared" si="38"/>
        <v>263.24</v>
      </c>
      <c r="H24" s="57">
        <f>ROUND((0.455*G24*1.09*$H$31*1000*10.14),0)+1</f>
        <v>745177</v>
      </c>
      <c r="I24" s="57">
        <f t="shared" ref="I24" si="43">ROUND((0.3*G24*1.09*$H$31*1000*5.27),0)*0</f>
        <v>0</v>
      </c>
      <c r="J24" s="57">
        <f t="shared" ref="J24" si="44">ROUND((0.025*G24*1.09*$H$31*1000*27.94),0)</f>
        <v>112817</v>
      </c>
      <c r="K24" s="57">
        <f t="shared" ref="K24" si="45">ROUND((0.22*G24*1.09*$H$31*1000*10.42),0)</f>
        <v>370254</v>
      </c>
      <c r="L24" s="70">
        <f t="shared" si="39"/>
        <v>1228248</v>
      </c>
      <c r="M24" s="66">
        <f t="shared" si="40"/>
        <v>51586</v>
      </c>
      <c r="N24" s="66">
        <f t="shared" si="41"/>
        <v>31934</v>
      </c>
      <c r="O24" s="86"/>
    </row>
    <row r="25" spans="1:15" ht="58.5" customHeight="1" x14ac:dyDescent="0.2">
      <c r="A25" s="89">
        <v>15</v>
      </c>
      <c r="B25" s="105" t="s">
        <v>110</v>
      </c>
      <c r="C25" s="54" t="s">
        <v>59</v>
      </c>
      <c r="D25" s="90">
        <v>229.2</v>
      </c>
      <c r="E25" s="55">
        <v>1.4</v>
      </c>
      <c r="F25" s="55">
        <f t="shared" ref="F25:F28" si="46">ROUND(((1.5+2.5+7.5+5+1.5)/100+1)*1.12,3)</f>
        <v>1.3220000000000001</v>
      </c>
      <c r="G25" s="56">
        <f t="shared" ref="G25:G27" si="47">ROUND((D25*E25*F25),2)</f>
        <v>424.2</v>
      </c>
      <c r="H25" s="57">
        <f>ROUND(((0.8*G25*1.09*$H$31*1000*6.49)-(27*10000+1.4*110500)),0)</f>
        <v>926634</v>
      </c>
      <c r="I25" s="57">
        <f t="shared" ref="I25:I27" si="48">ROUND((0.04*G25*1.09*$H$31*1000*5.27),0)</f>
        <v>54865</v>
      </c>
      <c r="J25" s="57">
        <f t="shared" ref="J25:J27" si="49">ROUND((0*G25*1.09*$H$31*1000*27.94),0)</f>
        <v>0</v>
      </c>
      <c r="K25" s="57">
        <f t="shared" ref="K25:K27" si="50">ROUND((0.16*G25*1.09*$H$31*1000*10.42),0)</f>
        <v>433926</v>
      </c>
      <c r="L25" s="70">
        <f t="shared" ref="L25:L27" si="51">SUM(H25:K25)</f>
        <v>1415425</v>
      </c>
      <c r="M25" s="66">
        <f t="shared" ref="M25:M27" si="52">ROUND((L25*0.07)*0.6,0)</f>
        <v>59448</v>
      </c>
      <c r="N25" s="66">
        <f t="shared" ref="N25:N27" si="53">ROUND((L25*0.026),0)</f>
        <v>36801</v>
      </c>
      <c r="O25" s="86"/>
    </row>
    <row r="26" spans="1:15" ht="63.75" customHeight="1" x14ac:dyDescent="0.2">
      <c r="A26" s="89">
        <v>16</v>
      </c>
      <c r="B26" s="105" t="s">
        <v>111</v>
      </c>
      <c r="C26" s="54" t="s">
        <v>59</v>
      </c>
      <c r="D26" s="90">
        <v>229.2</v>
      </c>
      <c r="E26" s="55">
        <v>1.8</v>
      </c>
      <c r="F26" s="55">
        <f t="shared" si="46"/>
        <v>1.3220000000000001</v>
      </c>
      <c r="G26" s="56">
        <f t="shared" si="47"/>
        <v>545.4</v>
      </c>
      <c r="H26" s="57">
        <f>ROUND(((0.8*G26*1.09*$H$31*1000*6.49)-(51*10000+1.8*110500)),0)</f>
        <v>1028529</v>
      </c>
      <c r="I26" s="57">
        <f t="shared" si="48"/>
        <v>70541</v>
      </c>
      <c r="J26" s="57">
        <f t="shared" si="49"/>
        <v>0</v>
      </c>
      <c r="K26" s="57">
        <f t="shared" si="50"/>
        <v>557905</v>
      </c>
      <c r="L26" s="70">
        <f t="shared" si="51"/>
        <v>1656975</v>
      </c>
      <c r="M26" s="66">
        <f t="shared" si="52"/>
        <v>69593</v>
      </c>
      <c r="N26" s="66">
        <f t="shared" si="53"/>
        <v>43081</v>
      </c>
      <c r="O26" s="86"/>
    </row>
    <row r="27" spans="1:15" ht="65.25" customHeight="1" x14ac:dyDescent="0.2">
      <c r="A27" s="89">
        <v>17</v>
      </c>
      <c r="B27" s="105" t="s">
        <v>112</v>
      </c>
      <c r="C27" s="54" t="s">
        <v>59</v>
      </c>
      <c r="D27" s="90">
        <v>229.2</v>
      </c>
      <c r="E27" s="55">
        <v>1.8</v>
      </c>
      <c r="F27" s="55">
        <f t="shared" si="46"/>
        <v>1.3220000000000001</v>
      </c>
      <c r="G27" s="56">
        <f t="shared" si="47"/>
        <v>545.4</v>
      </c>
      <c r="H27" s="57">
        <f>ROUND(((0.8*G27*1.09*$H$31*1000*6.49)-(35*10000+1.8*110500)),0)</f>
        <v>1188529</v>
      </c>
      <c r="I27" s="57">
        <f t="shared" si="48"/>
        <v>70541</v>
      </c>
      <c r="J27" s="57">
        <f t="shared" si="49"/>
        <v>0</v>
      </c>
      <c r="K27" s="57">
        <f t="shared" si="50"/>
        <v>557905</v>
      </c>
      <c r="L27" s="70">
        <f t="shared" si="51"/>
        <v>1816975</v>
      </c>
      <c r="M27" s="66">
        <f t="shared" si="52"/>
        <v>76313</v>
      </c>
      <c r="N27" s="66">
        <f t="shared" si="53"/>
        <v>47241</v>
      </c>
      <c r="O27" s="86"/>
    </row>
    <row r="28" spans="1:15" ht="65.25" customHeight="1" x14ac:dyDescent="0.2">
      <c r="A28" s="89">
        <v>18</v>
      </c>
      <c r="B28" s="105" t="s">
        <v>113</v>
      </c>
      <c r="C28" s="54" t="s">
        <v>59</v>
      </c>
      <c r="D28" s="90">
        <v>229.2</v>
      </c>
      <c r="E28" s="55">
        <v>1.8</v>
      </c>
      <c r="F28" s="55">
        <f t="shared" si="46"/>
        <v>1.3220000000000001</v>
      </c>
      <c r="G28" s="56">
        <f t="shared" ref="G28" si="54">ROUND((D28*E28*F28),2)</f>
        <v>545.4</v>
      </c>
      <c r="H28" s="57">
        <f>ROUND(((0.8*G28*1.09*$H$31*1000*6.49)-(35*10000+1.8*110500)),0)</f>
        <v>1188529</v>
      </c>
      <c r="I28" s="57">
        <f t="shared" ref="I28" si="55">ROUND((0.04*G28*1.09*$H$31*1000*5.27),0)</f>
        <v>70541</v>
      </c>
      <c r="J28" s="57">
        <f t="shared" ref="J28" si="56">ROUND((0*G28*1.09*$H$31*1000*27.94),0)</f>
        <v>0</v>
      </c>
      <c r="K28" s="57">
        <f t="shared" ref="K28" si="57">ROUND((0.16*G28*1.09*$H$31*1000*10.42),0)</f>
        <v>557905</v>
      </c>
      <c r="L28" s="70">
        <f t="shared" ref="L28" si="58">SUM(H28:K28)</f>
        <v>1816975</v>
      </c>
      <c r="M28" s="66">
        <f t="shared" ref="M28" si="59">ROUND((L28*0.07)*0.6,0)</f>
        <v>76313</v>
      </c>
      <c r="N28" s="66">
        <f t="shared" ref="N28" si="60">ROUND((L28*0.026),0)</f>
        <v>47241</v>
      </c>
      <c r="O28" s="86"/>
    </row>
    <row r="29" spans="1:15" ht="30.75" customHeight="1" x14ac:dyDescent="0.2">
      <c r="A29" s="128" t="s">
        <v>38</v>
      </c>
      <c r="B29" s="128"/>
      <c r="C29" s="128"/>
      <c r="D29" s="128"/>
      <c r="E29" s="128"/>
      <c r="F29" s="128"/>
      <c r="G29" s="128"/>
      <c r="H29" s="65">
        <f>SUM(H11:H28)</f>
        <v>13938130</v>
      </c>
      <c r="I29" s="65">
        <f t="shared" ref="I29:K29" si="61">SUM(I11:I28)</f>
        <v>721500</v>
      </c>
      <c r="J29" s="65">
        <f t="shared" si="61"/>
        <v>338451</v>
      </c>
      <c r="K29" s="65">
        <f t="shared" si="61"/>
        <v>6817053</v>
      </c>
      <c r="L29" s="71">
        <f>SUM(H29:K29)</f>
        <v>21815134</v>
      </c>
      <c r="M29" s="65">
        <f>SUM(M11:M28)</f>
        <v>916234</v>
      </c>
      <c r="N29" s="65">
        <f>SUM(N11:N28)</f>
        <v>567190</v>
      </c>
    </row>
    <row r="30" spans="1:15" s="43" customFormat="1" x14ac:dyDescent="0.2">
      <c r="A30" s="28"/>
      <c r="B30" s="28"/>
      <c r="C30" s="28"/>
      <c r="D30" s="28"/>
      <c r="E30" s="52"/>
      <c r="F30" s="28"/>
      <c r="G30" s="28"/>
      <c r="H30" s="27"/>
      <c r="I30" s="27"/>
      <c r="J30" s="19"/>
      <c r="K30" s="27"/>
      <c r="L30" s="27"/>
      <c r="M30" s="19"/>
      <c r="N30" s="19"/>
    </row>
    <row r="31" spans="1:15" ht="12.75" customHeight="1" x14ac:dyDescent="0.2">
      <c r="A31" s="127" t="s">
        <v>86</v>
      </c>
      <c r="B31" s="127"/>
      <c r="C31" s="127"/>
      <c r="D31" s="127"/>
      <c r="E31" s="127"/>
      <c r="F31" s="127"/>
      <c r="G31" s="127"/>
      <c r="H31" s="41">
        <v>0.56289946999999996</v>
      </c>
      <c r="I31" s="41"/>
      <c r="J31" s="85"/>
      <c r="K31" s="41"/>
      <c r="L31" s="42"/>
      <c r="M31" s="43"/>
      <c r="N31" s="43"/>
    </row>
    <row r="32" spans="1:15" x14ac:dyDescent="0.2">
      <c r="A32" s="28"/>
      <c r="B32" s="28"/>
      <c r="C32" s="28"/>
      <c r="D32" s="28"/>
      <c r="E32" s="52"/>
      <c r="F32" s="28"/>
      <c r="G32" s="28"/>
      <c r="H32" s="27"/>
      <c r="I32" s="45"/>
      <c r="J32" s="27"/>
      <c r="K32" s="27"/>
      <c r="L32" s="27"/>
      <c r="M32" s="27"/>
    </row>
    <row r="33" spans="1:13" x14ac:dyDescent="0.2">
      <c r="A33" s="22"/>
      <c r="B33" s="22" t="s">
        <v>37</v>
      </c>
      <c r="C33" s="22"/>
      <c r="D33" s="22"/>
      <c r="E33" s="22"/>
      <c r="F33" s="22"/>
      <c r="G33" s="22"/>
      <c r="H33" s="22"/>
      <c r="I33" s="22"/>
      <c r="J33" s="22"/>
      <c r="K33" s="27"/>
      <c r="L33" s="22"/>
      <c r="M33" s="22"/>
    </row>
    <row r="34" spans="1:13" ht="27.75" customHeight="1" x14ac:dyDescent="0.2">
      <c r="A34" s="22"/>
      <c r="B34" s="126" t="s">
        <v>36</v>
      </c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35"/>
    </row>
    <row r="35" spans="1:13" x14ac:dyDescent="0.2">
      <c r="A35" s="20"/>
      <c r="B35" s="20"/>
      <c r="C35" s="20"/>
      <c r="D35" s="20"/>
      <c r="E35" s="20"/>
      <c r="F35" s="20" t="s">
        <v>35</v>
      </c>
      <c r="G35" s="20"/>
      <c r="H35" s="20"/>
      <c r="I35" s="20"/>
      <c r="J35" s="20"/>
      <c r="K35" s="20"/>
      <c r="L35" s="20"/>
      <c r="M35" s="20"/>
    </row>
    <row r="36" spans="1:13" x14ac:dyDescent="0.2">
      <c r="A36" s="22"/>
      <c r="B36" s="22" t="s">
        <v>34</v>
      </c>
      <c r="C36" s="22"/>
      <c r="D36" s="22"/>
      <c r="E36" s="22"/>
      <c r="F36" s="22"/>
      <c r="G36" s="22"/>
      <c r="H36" s="22"/>
      <c r="I36" s="44"/>
      <c r="J36" s="22"/>
      <c r="K36" s="22"/>
      <c r="L36" s="22"/>
      <c r="M36" s="22"/>
    </row>
    <row r="37" spans="1:13" x14ac:dyDescent="0.2">
      <c r="A37" s="21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1:13" x14ac:dyDescent="0.2">
      <c r="A38" s="26" t="s">
        <v>33</v>
      </c>
      <c r="B38" s="25" t="s">
        <v>32</v>
      </c>
      <c r="C38" s="22"/>
      <c r="D38" s="22" t="s">
        <v>69</v>
      </c>
      <c r="E38" s="22"/>
      <c r="F38" s="22"/>
      <c r="G38" s="22"/>
      <c r="H38" s="22" t="s">
        <v>83</v>
      </c>
      <c r="I38" s="22"/>
      <c r="J38" s="22"/>
      <c r="K38" s="22"/>
      <c r="L38" s="22"/>
      <c r="M38" s="22"/>
    </row>
    <row r="39" spans="1:13" x14ac:dyDescent="0.2">
      <c r="A39" s="24" t="s">
        <v>31</v>
      </c>
      <c r="B39" s="22" t="s">
        <v>30</v>
      </c>
      <c r="C39" s="22"/>
      <c r="D39" s="22"/>
      <c r="E39" s="22"/>
      <c r="F39" s="22"/>
      <c r="G39" s="22"/>
      <c r="H39" s="49"/>
      <c r="I39" s="58"/>
      <c r="J39" s="59"/>
      <c r="K39" s="59"/>
      <c r="L39" s="59"/>
      <c r="M39" s="59"/>
    </row>
    <row r="40" spans="1:13" x14ac:dyDescent="0.2">
      <c r="A40" s="23" t="s">
        <v>24</v>
      </c>
      <c r="B40" s="22" t="s">
        <v>29</v>
      </c>
      <c r="C40" s="22"/>
      <c r="D40" s="22"/>
      <c r="E40" s="22"/>
      <c r="F40" s="22"/>
      <c r="G40" s="22"/>
      <c r="H40" s="50"/>
      <c r="I40" s="59"/>
      <c r="J40" s="59"/>
      <c r="K40" s="59"/>
      <c r="L40" s="59"/>
      <c r="M40" s="59"/>
    </row>
    <row r="41" spans="1:13" x14ac:dyDescent="0.2">
      <c r="A41" s="23" t="s">
        <v>24</v>
      </c>
      <c r="B41" s="22" t="s">
        <v>28</v>
      </c>
      <c r="C41" s="22"/>
      <c r="D41" s="22"/>
      <c r="E41" s="22"/>
      <c r="F41" s="22"/>
      <c r="G41" s="22"/>
      <c r="H41" s="51"/>
      <c r="I41" s="59"/>
      <c r="J41" s="59"/>
      <c r="K41" s="59"/>
      <c r="L41" s="59"/>
      <c r="M41" s="59"/>
    </row>
    <row r="42" spans="1:13" x14ac:dyDescent="0.2">
      <c r="A42" s="23" t="s">
        <v>24</v>
      </c>
      <c r="B42" s="22" t="s">
        <v>27</v>
      </c>
      <c r="C42" s="22"/>
      <c r="D42" s="22"/>
      <c r="E42" s="22"/>
      <c r="F42" s="22"/>
      <c r="G42" s="22"/>
      <c r="H42" s="51"/>
      <c r="I42" s="59"/>
      <c r="J42" s="59"/>
      <c r="K42" s="59"/>
      <c r="L42" s="59"/>
      <c r="M42" s="59"/>
    </row>
    <row r="43" spans="1:13" hidden="1" x14ac:dyDescent="0.2">
      <c r="A43" s="23" t="s">
        <v>24</v>
      </c>
      <c r="B43" s="22" t="s">
        <v>26</v>
      </c>
      <c r="C43" s="22"/>
      <c r="D43" s="22"/>
      <c r="E43" s="22"/>
      <c r="F43" s="22"/>
      <c r="G43" s="22"/>
      <c r="H43" s="51"/>
      <c r="I43" s="82"/>
      <c r="J43" s="59"/>
      <c r="K43" s="59"/>
      <c r="L43" s="59"/>
      <c r="M43" s="59"/>
    </row>
    <row r="44" spans="1:13" x14ac:dyDescent="0.2">
      <c r="A44" s="23" t="s">
        <v>24</v>
      </c>
      <c r="B44" s="22" t="s">
        <v>25</v>
      </c>
      <c r="C44" s="22"/>
      <c r="D44" s="22"/>
      <c r="E44" s="22"/>
      <c r="F44" s="22"/>
      <c r="G44" s="22"/>
      <c r="H44" s="51"/>
      <c r="I44" s="82"/>
      <c r="J44" s="59"/>
      <c r="K44" s="59"/>
      <c r="L44" s="59"/>
      <c r="M44" s="59"/>
    </row>
    <row r="45" spans="1:13" x14ac:dyDescent="0.2">
      <c r="A45" s="23" t="s">
        <v>24</v>
      </c>
      <c r="B45" s="22" t="s">
        <v>68</v>
      </c>
      <c r="C45" s="22"/>
      <c r="D45" s="22"/>
      <c r="E45" s="22"/>
      <c r="F45" s="22"/>
      <c r="G45" s="22"/>
      <c r="H45" s="51"/>
      <c r="I45" s="82"/>
      <c r="J45" s="82"/>
      <c r="K45" s="59"/>
      <c r="L45" s="59"/>
      <c r="M45" s="59"/>
    </row>
    <row r="46" spans="1:13" x14ac:dyDescent="0.2">
      <c r="A46" s="23" t="s">
        <v>64</v>
      </c>
      <c r="B46" s="22" t="s">
        <v>65</v>
      </c>
      <c r="C46" s="22"/>
      <c r="D46" s="22"/>
      <c r="E46" s="22"/>
      <c r="F46" s="22"/>
      <c r="G46" s="22"/>
      <c r="H46" s="51"/>
      <c r="I46" s="59"/>
      <c r="J46" s="59"/>
      <c r="K46" s="59"/>
      <c r="L46" s="59"/>
      <c r="M46" s="59"/>
    </row>
    <row r="47" spans="1:13" ht="23.25" customHeight="1" x14ac:dyDescent="0.2">
      <c r="A47" s="21" t="s">
        <v>24</v>
      </c>
      <c r="B47" s="20" t="s">
        <v>84</v>
      </c>
      <c r="C47" s="20"/>
      <c r="D47" s="20"/>
      <c r="E47" s="20"/>
      <c r="F47" s="20"/>
      <c r="G47" s="20"/>
      <c r="H47" s="51"/>
      <c r="I47" s="59"/>
      <c r="J47" s="59"/>
      <c r="K47" s="59"/>
      <c r="L47" s="59"/>
      <c r="M47" s="59"/>
    </row>
    <row r="48" spans="1:13" hidden="1" x14ac:dyDescent="0.2">
      <c r="A48" s="21" t="s">
        <v>66</v>
      </c>
      <c r="B48" s="20" t="s">
        <v>67</v>
      </c>
      <c r="C48" s="20"/>
      <c r="D48" s="20"/>
      <c r="E48" s="20"/>
      <c r="F48" s="20"/>
      <c r="G48" s="20"/>
      <c r="H48" s="51"/>
      <c r="I48" s="59"/>
      <c r="J48" s="59"/>
      <c r="K48" s="59"/>
      <c r="L48" s="59"/>
      <c r="M48" s="59"/>
    </row>
    <row r="49" spans="1:17" hidden="1" x14ac:dyDescent="0.2">
      <c r="A49" s="68" t="s">
        <v>24</v>
      </c>
      <c r="B49" s="69" t="s">
        <v>60</v>
      </c>
      <c r="I49" s="59"/>
      <c r="J49" s="59"/>
      <c r="K49" s="59"/>
      <c r="L49" s="59"/>
      <c r="M49" s="59"/>
    </row>
    <row r="50" spans="1:17" hidden="1" x14ac:dyDescent="0.2">
      <c r="A50" s="68" t="s">
        <v>24</v>
      </c>
      <c r="B50" s="69" t="s">
        <v>61</v>
      </c>
      <c r="C50" s="59"/>
      <c r="D50" s="59"/>
      <c r="E50" s="59"/>
      <c r="F50" s="59"/>
      <c r="I50" s="60"/>
      <c r="J50" s="61"/>
      <c r="K50" s="61"/>
      <c r="L50" s="61"/>
      <c r="M50" s="61"/>
    </row>
    <row r="51" spans="1:17" hidden="1" x14ac:dyDescent="0.2">
      <c r="A51" s="68" t="s">
        <v>24</v>
      </c>
      <c r="B51" s="69" t="s">
        <v>62</v>
      </c>
      <c r="C51" s="59"/>
      <c r="D51" s="59"/>
      <c r="E51" s="59"/>
      <c r="F51" s="59"/>
      <c r="I51" s="60"/>
      <c r="J51" s="61"/>
      <c r="K51" s="61"/>
      <c r="L51" s="61"/>
      <c r="M51" s="61"/>
    </row>
    <row r="52" spans="1:17" hidden="1" x14ac:dyDescent="0.2">
      <c r="A52" s="68" t="s">
        <v>24</v>
      </c>
      <c r="B52" s="69" t="s">
        <v>63</v>
      </c>
      <c r="C52" s="59"/>
      <c r="D52" s="59"/>
      <c r="E52" s="59"/>
      <c r="F52" s="59"/>
    </row>
    <row r="53" spans="1:17" ht="23.25" customHeight="1" x14ac:dyDescent="0.2">
      <c r="A53" s="21" t="s">
        <v>24</v>
      </c>
      <c r="B53" s="20" t="s">
        <v>85</v>
      </c>
      <c r="C53" s="20"/>
      <c r="D53" s="20"/>
      <c r="E53" s="20"/>
      <c r="F53" s="20"/>
      <c r="G53" s="20"/>
      <c r="H53" s="51"/>
      <c r="I53" s="59"/>
      <c r="J53" s="59"/>
      <c r="K53" s="59"/>
      <c r="L53" s="59"/>
      <c r="M53" s="59"/>
    </row>
    <row r="54" spans="1:17" x14ac:dyDescent="0.2">
      <c r="B54" s="59"/>
      <c r="C54" s="59"/>
      <c r="D54" s="59"/>
      <c r="E54" s="59"/>
      <c r="F54" s="59"/>
    </row>
    <row r="55" spans="1:17" s="95" customFormat="1" ht="15" x14ac:dyDescent="0.25">
      <c r="A55" s="93"/>
      <c r="B55" s="94" t="s">
        <v>87</v>
      </c>
      <c r="D55" s="96"/>
      <c r="E55" s="97"/>
      <c r="F55" s="98"/>
      <c r="K55" s="109" t="s">
        <v>88</v>
      </c>
      <c r="L55" s="109"/>
      <c r="M55" s="99"/>
      <c r="N55" s="93"/>
      <c r="O55" s="93"/>
      <c r="P55" s="93"/>
      <c r="Q55" s="93"/>
    </row>
    <row r="56" spans="1:17" s="95" customFormat="1" ht="9.75" customHeight="1" x14ac:dyDescent="0.25">
      <c r="A56" s="100"/>
      <c r="B56" s="101"/>
      <c r="D56" s="101"/>
      <c r="E56" s="101"/>
      <c r="F56" s="98"/>
      <c r="K56" s="98"/>
      <c r="L56" s="101"/>
      <c r="M56" s="101"/>
      <c r="N56" s="101"/>
      <c r="O56" s="101"/>
      <c r="P56" s="101"/>
      <c r="Q56" s="101"/>
    </row>
    <row r="57" spans="1:17" s="95" customFormat="1" ht="18.75" customHeight="1" x14ac:dyDescent="0.25">
      <c r="A57" s="93"/>
      <c r="B57" s="94" t="s">
        <v>89</v>
      </c>
      <c r="D57" s="102"/>
      <c r="E57" s="97"/>
      <c r="F57" s="98"/>
      <c r="K57" s="110" t="s">
        <v>90</v>
      </c>
      <c r="L57" s="110"/>
      <c r="M57" s="103"/>
      <c r="N57" s="93"/>
      <c r="O57" s="93"/>
      <c r="P57" s="93"/>
      <c r="Q57" s="93"/>
    </row>
    <row r="58" spans="1:17" s="95" customFormat="1" ht="9.75" customHeight="1" x14ac:dyDescent="0.25">
      <c r="A58" s="100"/>
      <c r="B58" s="101"/>
      <c r="D58" s="101"/>
      <c r="E58" s="101"/>
      <c r="F58" s="98"/>
      <c r="K58" s="98"/>
      <c r="L58" s="101"/>
      <c r="M58" s="101"/>
      <c r="N58" s="101"/>
      <c r="O58" s="101"/>
      <c r="P58" s="101"/>
      <c r="Q58" s="101"/>
    </row>
    <row r="59" spans="1:17" s="95" customFormat="1" ht="15.75" customHeight="1" x14ac:dyDescent="0.25">
      <c r="A59" s="93"/>
      <c r="B59" s="94" t="s">
        <v>91</v>
      </c>
      <c r="D59" s="102"/>
      <c r="E59" s="97"/>
      <c r="F59" s="98"/>
      <c r="K59" s="110" t="s">
        <v>92</v>
      </c>
      <c r="L59" s="110"/>
      <c r="M59" s="103"/>
      <c r="N59" s="93"/>
      <c r="O59" s="93"/>
      <c r="P59" s="93"/>
      <c r="Q59" s="93"/>
    </row>
    <row r="60" spans="1:17" s="95" customFormat="1" ht="9.75" customHeight="1" x14ac:dyDescent="0.25">
      <c r="A60" s="93"/>
      <c r="B60" s="97"/>
      <c r="D60" s="97"/>
      <c r="E60" s="97"/>
      <c r="F60" s="98"/>
      <c r="K60" s="98"/>
      <c r="L60" s="97"/>
      <c r="M60" s="93"/>
      <c r="N60" s="93"/>
      <c r="O60" s="93"/>
      <c r="P60" s="93"/>
      <c r="Q60" s="93"/>
    </row>
    <row r="61" spans="1:17" s="95" customFormat="1" ht="15" customHeight="1" x14ac:dyDescent="0.25">
      <c r="A61" s="93"/>
      <c r="B61" s="94" t="s">
        <v>93</v>
      </c>
      <c r="D61" s="104"/>
      <c r="E61" s="97"/>
      <c r="F61" s="98"/>
      <c r="K61" s="110" t="s">
        <v>94</v>
      </c>
      <c r="L61" s="110"/>
      <c r="M61" s="103"/>
      <c r="N61" s="93"/>
      <c r="O61" s="93"/>
      <c r="P61" s="93"/>
      <c r="Q61" s="93"/>
    </row>
    <row r="62" spans="1:17" x14ac:dyDescent="0.2">
      <c r="B62" s="62"/>
      <c r="C62" s="62"/>
      <c r="D62" s="62"/>
      <c r="E62" s="62"/>
      <c r="F62" s="62"/>
    </row>
  </sheetData>
  <mergeCells count="21">
    <mergeCell ref="A1:L1"/>
    <mergeCell ref="G9:G10"/>
    <mergeCell ref="H9:K9"/>
    <mergeCell ref="L9:L10"/>
    <mergeCell ref="B9:B10"/>
    <mergeCell ref="A9:A10"/>
    <mergeCell ref="C9:C10"/>
    <mergeCell ref="B5:L5"/>
    <mergeCell ref="A3:M3"/>
    <mergeCell ref="A4:M4"/>
    <mergeCell ref="M9:N9"/>
    <mergeCell ref="D9:D10"/>
    <mergeCell ref="E9:E10"/>
    <mergeCell ref="F9:F10"/>
    <mergeCell ref="K61:L61"/>
    <mergeCell ref="B34:L34"/>
    <mergeCell ref="A31:G31"/>
    <mergeCell ref="A29:G29"/>
    <mergeCell ref="K55:L55"/>
    <mergeCell ref="K57:L57"/>
    <mergeCell ref="K59:L59"/>
  </mergeCells>
  <pageMargins left="0.23622047244094491" right="0.23622047244094491" top="0.74803149606299213" bottom="0.74803149606299213" header="0" footer="0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</vt:lpstr>
      <vt:lpstr>расчет 1</vt:lpstr>
      <vt:lpstr>Т!Заголовки_для_печати</vt:lpstr>
      <vt:lpstr>'расчет 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Мазнинова Екатерина Васильевна</dc:creator>
  <cp:lastModifiedBy>Гаврюш Татьяна Петровна</cp:lastModifiedBy>
  <cp:lastPrinted>2020-12-16T03:48:15Z</cp:lastPrinted>
  <dcterms:created xsi:type="dcterms:W3CDTF">2002-03-25T05:35:56Z</dcterms:created>
  <dcterms:modified xsi:type="dcterms:W3CDTF">2020-12-16T03:58:36Z</dcterms:modified>
</cp:coreProperties>
</file>