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\\Rsk40srv018\управление\СИДТП\ЗАКУПКИ\ПОДГОТОВКА\90128\Приложение 4 Сводный сметный расчет\"/>
    </mc:Choice>
  </mc:AlternateContent>
  <bookViews>
    <workbookView xWindow="0" yWindow="0" windowWidth="28800" windowHeight="12300"/>
  </bookViews>
  <sheets>
    <sheet name="Без зимнего коэффициента" sheetId="2" r:id="rId1"/>
  </sheets>
  <definedNames>
    <definedName name="_xlnm._FilterDatabase" localSheetId="0" hidden="1">'Без зимнего коэффициента'!$A$7:$G$172</definedName>
    <definedName name="_xlnm.Print_Area" localSheetId="0">'Без зимнего коэффициента'!$A$1:$G$175</definedName>
  </definedNames>
  <calcPr calcId="162913"/>
</workbook>
</file>

<file path=xl/calcChain.xml><?xml version="1.0" encoding="utf-8"?>
<calcChain xmlns="http://schemas.openxmlformats.org/spreadsheetml/2006/main">
  <c r="E161" i="2" l="1"/>
  <c r="G71" i="2" l="1"/>
  <c r="G72" i="2"/>
  <c r="H71" i="2" l="1"/>
  <c r="J71" i="2" s="1"/>
  <c r="G118" i="2"/>
  <c r="G109" i="2"/>
  <c r="G108" i="2"/>
  <c r="G107" i="2"/>
  <c r="G65" i="2"/>
  <c r="G63" i="2"/>
  <c r="I74" i="2" l="1"/>
  <c r="G162" i="2" l="1"/>
  <c r="G164" i="2" l="1"/>
  <c r="G163" i="2"/>
  <c r="G161" i="2"/>
  <c r="G160" i="2"/>
  <c r="G158" i="2"/>
  <c r="G37" i="2" l="1"/>
  <c r="G169" i="2" l="1"/>
  <c r="G168" i="2"/>
  <c r="G165" i="2"/>
  <c r="G159" i="2"/>
  <c r="G157" i="2"/>
  <c r="G156" i="2"/>
  <c r="G155" i="2"/>
  <c r="G154" i="2"/>
  <c r="G153" i="2"/>
  <c r="G152" i="2"/>
  <c r="G151" i="2"/>
  <c r="G150" i="2"/>
  <c r="G147" i="2"/>
  <c r="G146" i="2"/>
  <c r="G145" i="2"/>
  <c r="G144" i="2"/>
  <c r="G143" i="2"/>
  <c r="G142" i="2"/>
  <c r="G141" i="2"/>
  <c r="G140" i="2"/>
  <c r="G139" i="2"/>
  <c r="G138" i="2"/>
  <c r="G137" i="2"/>
  <c r="G136" i="2"/>
  <c r="G135" i="2"/>
  <c r="G134" i="2"/>
  <c r="G133" i="2"/>
  <c r="G132" i="2"/>
  <c r="G131" i="2"/>
  <c r="G130" i="2"/>
  <c r="G127" i="2"/>
  <c r="G126" i="2"/>
  <c r="G125" i="2"/>
  <c r="G124" i="2"/>
  <c r="G121" i="2"/>
  <c r="G119" i="2"/>
  <c r="G117" i="2"/>
  <c r="G116" i="2"/>
  <c r="G115" i="2"/>
  <c r="G113" i="2"/>
  <c r="G112" i="2"/>
  <c r="G111" i="2"/>
  <c r="G106" i="2"/>
  <c r="G105" i="2"/>
  <c r="G103" i="2"/>
  <c r="G102" i="2"/>
  <c r="G101" i="2"/>
  <c r="G100" i="2"/>
  <c r="G99" i="2"/>
  <c r="G98" i="2"/>
  <c r="G97" i="2"/>
  <c r="G96" i="2"/>
  <c r="G94" i="2"/>
  <c r="G93" i="2"/>
  <c r="G92" i="2"/>
  <c r="G91" i="2"/>
  <c r="G90" i="2"/>
  <c r="G89" i="2"/>
  <c r="G88" i="2"/>
  <c r="G87" i="2"/>
  <c r="G86" i="2"/>
  <c r="G85" i="2"/>
  <c r="G84" i="2"/>
  <c r="G83" i="2"/>
  <c r="G82" i="2"/>
  <c r="G80" i="2"/>
  <c r="G79" i="2"/>
  <c r="G78" i="2"/>
  <c r="G77" i="2"/>
  <c r="G76" i="2"/>
  <c r="G73" i="2"/>
  <c r="J73" i="2" s="1"/>
  <c r="J72" i="2"/>
  <c r="G70" i="2"/>
  <c r="G69" i="2"/>
  <c r="G66" i="2"/>
  <c r="G64" i="2"/>
  <c r="G62" i="2"/>
  <c r="G61" i="2"/>
  <c r="G60" i="2"/>
  <c r="G59" i="2"/>
  <c r="G58" i="2"/>
  <c r="G57" i="2"/>
  <c r="G56" i="2"/>
  <c r="G55" i="2"/>
  <c r="G54" i="2"/>
  <c r="G53" i="2"/>
  <c r="G52" i="2"/>
  <c r="G51" i="2"/>
  <c r="G50" i="2"/>
  <c r="G49" i="2"/>
  <c r="G48" i="2"/>
  <c r="G47" i="2"/>
  <c r="G46" i="2"/>
  <c r="G45" i="2"/>
  <c r="G44" i="2"/>
  <c r="G43" i="2"/>
  <c r="G42" i="2"/>
  <c r="G41" i="2"/>
  <c r="G40" i="2"/>
  <c r="G39" i="2"/>
  <c r="G38" i="2"/>
  <c r="G36" i="2"/>
  <c r="G35" i="2"/>
  <c r="G34" i="2"/>
  <c r="G33" i="2"/>
  <c r="G32" i="2"/>
  <c r="G31" i="2"/>
  <c r="G28" i="2"/>
  <c r="G27" i="2"/>
  <c r="G26" i="2"/>
  <c r="G25" i="2"/>
  <c r="G24" i="2"/>
  <c r="G23" i="2"/>
  <c r="G22" i="2"/>
  <c r="G21" i="2"/>
  <c r="G20" i="2"/>
  <c r="G19" i="2"/>
  <c r="G18" i="2"/>
  <c r="G17" i="2"/>
  <c r="G16" i="2"/>
  <c r="G15" i="2"/>
  <c r="G14" i="2"/>
  <c r="G13" i="2"/>
  <c r="G12" i="2"/>
  <c r="G11" i="2"/>
  <c r="G10" i="2"/>
  <c r="G95" i="2" l="1"/>
  <c r="G114" i="2"/>
  <c r="J114" i="2" s="1"/>
  <c r="H70" i="2"/>
  <c r="J70" i="2"/>
  <c r="J95" i="2"/>
  <c r="H95" i="2"/>
  <c r="I95" i="2"/>
  <c r="J69" i="2"/>
  <c r="J74" i="2" s="1"/>
  <c r="H69" i="2"/>
  <c r="G81" i="2"/>
  <c r="G104" i="2"/>
  <c r="G29" i="2"/>
  <c r="G67" i="2"/>
  <c r="H114" i="2"/>
  <c r="G110" i="2"/>
  <c r="G120" i="2"/>
  <c r="J121" i="2"/>
  <c r="H121" i="2"/>
  <c r="G170" i="2"/>
  <c r="J170" i="2" s="1"/>
  <c r="K170" i="2" s="1"/>
  <c r="G166" i="2"/>
  <c r="J166" i="2" s="1"/>
  <c r="K166" i="2" s="1"/>
  <c r="G148" i="2"/>
  <c r="J148" i="2" s="1"/>
  <c r="K148" i="2" s="1"/>
  <c r="G128" i="2"/>
  <c r="J128" i="2" s="1"/>
  <c r="G74" i="2"/>
  <c r="H74" i="2" l="1"/>
  <c r="K74" i="2"/>
  <c r="I81" i="2"/>
  <c r="J81" i="2"/>
  <c r="H81" i="2"/>
  <c r="H120" i="2"/>
  <c r="J120" i="2"/>
  <c r="J67" i="2"/>
  <c r="H67" i="2"/>
  <c r="G122" i="2"/>
  <c r="I104" i="2"/>
  <c r="I122" i="2" s="1"/>
  <c r="J104" i="2"/>
  <c r="H104" i="2"/>
  <c r="J110" i="2"/>
  <c r="H110" i="2"/>
  <c r="J29" i="2"/>
  <c r="H29" i="2"/>
  <c r="I29" i="2"/>
  <c r="K128" i="2"/>
  <c r="G172" i="2"/>
  <c r="I172" i="2" l="1"/>
  <c r="K29" i="2"/>
  <c r="H122" i="2"/>
  <c r="K67" i="2"/>
  <c r="J122" i="2"/>
  <c r="J172" i="2" s="1"/>
  <c r="J174" i="2" s="1"/>
  <c r="D5" i="2"/>
  <c r="I174" i="2"/>
  <c r="H172" i="2" l="1"/>
  <c r="K122" i="2"/>
  <c r="K172" i="2" l="1"/>
  <c r="H174" i="2"/>
  <c r="K174" i="2" s="1"/>
</calcChain>
</file>

<file path=xl/sharedStrings.xml><?xml version="1.0" encoding="utf-8"?>
<sst xmlns="http://schemas.openxmlformats.org/spreadsheetml/2006/main" count="461" uniqueCount="340">
  <si>
    <t>ВЛ 0,4 кВ</t>
  </si>
  <si>
    <t>ВЛ 6(10) кВ</t>
  </si>
  <si>
    <t>№ п/п</t>
  </si>
  <si>
    <t>Общая стоимость, руб.</t>
  </si>
  <si>
    <t>Обоснование</t>
  </si>
  <si>
    <t>Наименование работ</t>
  </si>
  <si>
    <t>Единица измерения</t>
  </si>
  <si>
    <t>Количество</t>
  </si>
  <si>
    <t>Стоимость единицы, руб.</t>
  </si>
  <si>
    <t>Локальный сметный расчёт №1</t>
  </si>
  <si>
    <t>Локальный сметный расчёт №2</t>
  </si>
  <si>
    <t>Локальный сметный расчёт №3</t>
  </si>
  <si>
    <t>Локальный сметный расчёт №4</t>
  </si>
  <si>
    <t>Локальный сметный расчёт №5</t>
  </si>
  <si>
    <t>Локальный сметный расчёт №6</t>
  </si>
  <si>
    <t>Локальный сметный расчёт №7</t>
  </si>
  <si>
    <t>Локальный сметный расчёт №8</t>
  </si>
  <si>
    <t>Локальный сметный расчёт №9</t>
  </si>
  <si>
    <t>Локальный сметный расчёт №10</t>
  </si>
  <si>
    <t>Локальный сметный расчёт №11</t>
  </si>
  <si>
    <t>Локальный сметный расчёт №12</t>
  </si>
  <si>
    <t>Локальный сметный расчёт №13</t>
  </si>
  <si>
    <t>Локальный сметный расчёт №14</t>
  </si>
  <si>
    <t>Локальный сметный расчёт №16</t>
  </si>
  <si>
    <t>Локальный сметный расчёт №27</t>
  </si>
  <si>
    <t>Локальный сметный расчёт №28</t>
  </si>
  <si>
    <t>Локальный сметный расчёт №29</t>
  </si>
  <si>
    <t>Локальный сметный расчёт №30</t>
  </si>
  <si>
    <t>Локальный сметный расчёт №31</t>
  </si>
  <si>
    <t>Локальный сметный расчёт №32</t>
  </si>
  <si>
    <t>Локальный сметный расчёт №33</t>
  </si>
  <si>
    <t>Локальный сметный расчёт №34</t>
  </si>
  <si>
    <t>Локальный сметный расчёт №35</t>
  </si>
  <si>
    <t>Локальный сметный расчёт №36</t>
  </si>
  <si>
    <t>Локальный сметный расчёт №37</t>
  </si>
  <si>
    <t>Локальный сметный расчёт №38</t>
  </si>
  <si>
    <t>Локальный сметный расчёт №39</t>
  </si>
  <si>
    <t>Локальный сметный расчёт №40</t>
  </si>
  <si>
    <t>Локальный сметный расчёт №41</t>
  </si>
  <si>
    <t>Локальный сметный расчёт №42</t>
  </si>
  <si>
    <t>Локальный сметный расчёт №43</t>
  </si>
  <si>
    <t>Локальный сметный расчёт №44</t>
  </si>
  <si>
    <t>Локальный сметный расчёт №45</t>
  </si>
  <si>
    <t>Локальный сметный расчёт №46</t>
  </si>
  <si>
    <t>Локальный сметный расчёт №47</t>
  </si>
  <si>
    <t>Локальный сметный расчёт №48</t>
  </si>
  <si>
    <t>Локальный сметный расчёт №49</t>
  </si>
  <si>
    <t>Локальный сметный расчёт №50</t>
  </si>
  <si>
    <t>Локальный сметный расчёт №51</t>
  </si>
  <si>
    <t>Локальный сметный расчёт №52</t>
  </si>
  <si>
    <t>Установка одностоечной опоры 6(10) кВ</t>
  </si>
  <si>
    <t>Установка одностоечной опоры с 1 подкосом 6(10) кВ</t>
  </si>
  <si>
    <t>Установка одностоечной опоры с 2 подкосами 6(10) кВ</t>
  </si>
  <si>
    <t>1 опора</t>
  </si>
  <si>
    <t>Подвеска провода АС-50</t>
  </si>
  <si>
    <t>1 км (3 провода)</t>
  </si>
  <si>
    <t>Подвеска провода СИП3 1*50</t>
  </si>
  <si>
    <t>Подвеска провода СИП3 1*70</t>
  </si>
  <si>
    <t>Подвеска провода СИП3 1*95</t>
  </si>
  <si>
    <t>Установка РЛНД</t>
  </si>
  <si>
    <t>1 шт.</t>
  </si>
  <si>
    <t>Установка одностоечной опоры 0,4 кВ</t>
  </si>
  <si>
    <t>Установка одностоечной опоры с 1 подкосом 0,4 кВ</t>
  </si>
  <si>
    <t>Установка одностоечной опоры с 2 подкосами 0,4 кВ</t>
  </si>
  <si>
    <t>1 км</t>
  </si>
  <si>
    <t>Подвеска провода СИП2А 3*95 + 1*70</t>
  </si>
  <si>
    <t>Установка ТП</t>
  </si>
  <si>
    <t>Строительство КТПН-250 кВА</t>
  </si>
  <si>
    <t>Строительство КТПН-400 кВА</t>
  </si>
  <si>
    <t>Строительство КТПН-630 кВА</t>
  </si>
  <si>
    <t>Установка ТМГ-40 кВА</t>
  </si>
  <si>
    <t>Установка ТМГ-63 кВА</t>
  </si>
  <si>
    <t>Установка ТМГ-100 кВА</t>
  </si>
  <si>
    <t>Установка ТМГ-160 кВА</t>
  </si>
  <si>
    <t>Установка ТМГ-250 кВА</t>
  </si>
  <si>
    <t>Установка ТМГ-400 кВА</t>
  </si>
  <si>
    <t>Установка ТМГ-630 кВА</t>
  </si>
  <si>
    <t>Установка ТМГ-1000 кВА</t>
  </si>
  <si>
    <t>Чистка просеки</t>
  </si>
  <si>
    <t>Валка ОСД</t>
  </si>
  <si>
    <t>Подрезка крон</t>
  </si>
  <si>
    <t>1 Га</t>
  </si>
  <si>
    <t>1 дерево</t>
  </si>
  <si>
    <t>Итого по разделу ВЛ 6 (10) кВ</t>
  </si>
  <si>
    <t>Итого по разделу ВЛ 0,4 кВ</t>
  </si>
  <si>
    <t>Итого по разделу - Установка ТП</t>
  </si>
  <si>
    <t>Демонтажные работы</t>
  </si>
  <si>
    <t>Итого по разделу - Демонтажные работы</t>
  </si>
  <si>
    <t>Демонтаж одностоечной опоры (без приставок)</t>
  </si>
  <si>
    <t>Демонтаж одностоечной опоры с 1 подкосом (без приставок)</t>
  </si>
  <si>
    <t>Демонтаж одностоечной опоры (с приставками)</t>
  </si>
  <si>
    <t>Демонтаж одностоечной опоры с 1 подкосом (с приставками)</t>
  </si>
  <si>
    <t>Демонтаж провода ВЛ-0,4 кВ</t>
  </si>
  <si>
    <t>Демонтаж провода ВЛ-6(10) кВ</t>
  </si>
  <si>
    <t>Демонтаж СТП</t>
  </si>
  <si>
    <t>Демонтаж КТПН</t>
  </si>
  <si>
    <t>Демонтаж ТМГ</t>
  </si>
  <si>
    <t>Демонтаж РЛНД</t>
  </si>
  <si>
    <t>Демонтаж АВ</t>
  </si>
  <si>
    <t>Демонтаж одностоечной опоры с 2 подкосами (без приставок)</t>
  </si>
  <si>
    <t>Демонтаж одностоечной опоры с 2 подкосами (с приставками)</t>
  </si>
  <si>
    <t>Итого по сводному сметному расчёту</t>
  </si>
  <si>
    <t>СВОДНЫЙ СМЕТНЫЙ РАСЧЁТ</t>
  </si>
  <si>
    <t>предельной стоимости закупки</t>
  </si>
  <si>
    <t>Сметная стоимость _______________________________________________________________________________________________</t>
  </si>
  <si>
    <t>тыс. руб.</t>
  </si>
  <si>
    <t>Локальный сметный расчёт №53</t>
  </si>
  <si>
    <t>Довеска дополнительного провода АС</t>
  </si>
  <si>
    <t>1 компл. (3 фазы)</t>
  </si>
  <si>
    <t>Локальный сметный расчёт №54</t>
  </si>
  <si>
    <t>Локальный сметный расчёт №55</t>
  </si>
  <si>
    <t>Локальный сметный расчёт №56</t>
  </si>
  <si>
    <t>Монтаж ошиновки</t>
  </si>
  <si>
    <t>10 м</t>
  </si>
  <si>
    <t>Демонтаж ТТ</t>
  </si>
  <si>
    <t>Локальный сметный расчёт №57</t>
  </si>
  <si>
    <t>Локальный сметный расчёт №58</t>
  </si>
  <si>
    <t>Локальный сметный расчёт №59</t>
  </si>
  <si>
    <t>Демонтаж рубильника 0,4 кВ</t>
  </si>
  <si>
    <t>Демонтаж ошиновки</t>
  </si>
  <si>
    <t>Перебазировка техники</t>
  </si>
  <si>
    <t>Итого по разделу - Перебазировка техники</t>
  </si>
  <si>
    <t>Строительство КЛ-0,4 кВ</t>
  </si>
  <si>
    <t>Строительство КЛ-6(10) кВ</t>
  </si>
  <si>
    <t>КЛ</t>
  </si>
  <si>
    <t>без НДС</t>
  </si>
  <si>
    <t>Строительство КТПН-160 кВА</t>
  </si>
  <si>
    <t>Строительство КТПН-100 кВА</t>
  </si>
  <si>
    <t>Строительство КТПН-1000 кВА</t>
  </si>
  <si>
    <t>Строительство КТПН-2х250 кВА</t>
  </si>
  <si>
    <t>Строительство КТПН-2х400 кВА</t>
  </si>
  <si>
    <t>Строительство КТПН-2х630 кВА</t>
  </si>
  <si>
    <t>Итого по разделу - КЛ</t>
  </si>
  <si>
    <t>Установка одностоечной опоры 6(10) кВ (без учёта стоимости опор)</t>
  </si>
  <si>
    <t>Установка одностоечной опоры с 1 подкосом 6(10) кВ  (без учёта стоимости опор)</t>
  </si>
  <si>
    <t>Установка одностоечной опоры с 2 подкосами 6(10) кВ  (без учёта стоимости опор)</t>
  </si>
  <si>
    <t>Подвеска провода АС-50 на переходе ч/з автодорогу 3 кат.</t>
  </si>
  <si>
    <t>Подвеска провода СИП3 1*50 на переходе ч/з автодорогу 3 кат.</t>
  </si>
  <si>
    <t>Подвеска провода СИП3 1*70 на переходе ч/з автодорогу 3 кат.</t>
  </si>
  <si>
    <t>Подвеска провода СИП3 1*95 на переходе ч/з автодорогу 3 кат.</t>
  </si>
  <si>
    <t>Подвеска провода АС-50 на переходе ч/з автодорогу 1-2 кат.</t>
  </si>
  <si>
    <t>Подвеска провода СИП3 1*50 на переходе ч/з автодорогу 1-2 кат.</t>
  </si>
  <si>
    <t>Подвеска провода СИП3 1*70 на переходе ч/з автодорогу 1-2 кат.</t>
  </si>
  <si>
    <t>Подвеска провода СИП3 1*95 на переходе ч/з автодорогу 1-2 кат.</t>
  </si>
  <si>
    <t>1 переход (30 м)</t>
  </si>
  <si>
    <t>1 переход (50 м)</t>
  </si>
  <si>
    <t>Локальный сметный расчёт №15</t>
  </si>
  <si>
    <t>Локальный сметный расчёт №17</t>
  </si>
  <si>
    <t>Локальный сметный расчёт №18</t>
  </si>
  <si>
    <t>Локальный сметный расчёт №19</t>
  </si>
  <si>
    <t>Установка одностоечной опоры 0,4 кВ (без учёта стоимости опор)</t>
  </si>
  <si>
    <t>Установка одностоечной опоры с 1 подкосом 0,4 кВ (без учёта стоимости опор)</t>
  </si>
  <si>
    <t>Установка одностоечной опоры с 2 подкосами 0,4 кВ (без учёта стоимости опор)</t>
  </si>
  <si>
    <t>Подвеска провода СИП4 2*16</t>
  </si>
  <si>
    <t>Подвеска провода СИП4 4*16</t>
  </si>
  <si>
    <t>Подвеска провода СИП4 4*25</t>
  </si>
  <si>
    <t>Подвеска провода СИП2А 3*35 + 1*50</t>
  </si>
  <si>
    <t>Подвеска провода СИП2А 3*50 + 1*50</t>
  </si>
  <si>
    <t>Подвеска провода СИП2А 3*120 + 1*95</t>
  </si>
  <si>
    <t>Подвеска провода СИП4 2*16 на переходе ч/з автодорогу 3 кат.</t>
  </si>
  <si>
    <t>Подвеска провода СИП4 4*16 на переходе ч/з автодорогу 3 кат.</t>
  </si>
  <si>
    <t>Подвеска провода СИП4 4*25 на переходе ч/з автодорогу 3 кат.</t>
  </si>
  <si>
    <t>Подвеска провода СИП2А 3*35 + 1*50 на переходе ч/з автодорогу 3 кат.</t>
  </si>
  <si>
    <t>Подвеска провода СИП2А 3*50 + 1*50 на переходе ч/з автодорогу 3 кат.</t>
  </si>
  <si>
    <t>Подвеска провода СИП2А 3*70 + 1*70 на переходе ч/з автодорогу 3 кат.</t>
  </si>
  <si>
    <t>Подвеска провода СИП2А 3*95 + 1*70 на переходе ч/з автодорогу 3 кат.</t>
  </si>
  <si>
    <t>Подвеска провода СИП2А 3*120 + 1*95 на переходе ч/з автодорогу 3 кат.</t>
  </si>
  <si>
    <t>Подвеска провода СИП4 2*16 на переходе ч/з автодорогу 1-2 кат.</t>
  </si>
  <si>
    <t>Подвеска провода СИП4 4*16 на переходе ч/з автодорогу 1-2 кат.</t>
  </si>
  <si>
    <t>Подвеска провода СИП4 4*25 на переходе ч/з автодорогу 1-2 кат.</t>
  </si>
  <si>
    <t>Подвеска провода СИП2А 3*35 + 1*50 на переходе ч/з автодорогу 1-2 кат.</t>
  </si>
  <si>
    <t>Подвеска провода СИП2А 3*50 + 1*50 на переходе ч/з автодорогу 1-2 кат.</t>
  </si>
  <si>
    <t>Подвеска провода СИП2А 3*70 + 1*70 на переходе ч/з автодорогу 1-2 кат.</t>
  </si>
  <si>
    <t>Подвеска провода СИП2А 3*95 + 1*70 на переходе ч/з автодорогу 1-2 кат.</t>
  </si>
  <si>
    <t>Подвеска провода СИП2А 3*120 + 1*95 на переходе ч/з автодорогу 1-2 кат.</t>
  </si>
  <si>
    <t>Локальный сметный расчёт №20</t>
  </si>
  <si>
    <t>Локальный сметный расчёт №21</t>
  </si>
  <si>
    <t>Локальный сметный расчёт №22</t>
  </si>
  <si>
    <t>Локальный сметный расчёт №23</t>
  </si>
  <si>
    <t>Локальный сметный расчёт №24</t>
  </si>
  <si>
    <t>Локальный сметный расчёт №25</t>
  </si>
  <si>
    <t>Локальный сметный расчёт №26</t>
  </si>
  <si>
    <t>Переход через препятствие методом ГНБ КЛ-0,4 кВ</t>
  </si>
  <si>
    <t>Переход через препятствие методом ГНБ КЛ-6(10) кВ</t>
  </si>
  <si>
    <t>100 м</t>
  </si>
  <si>
    <t>Строительство КМТП (СТП) - 25 кВА</t>
  </si>
  <si>
    <t>Строительство КМТП (СТП) - 40 кВА</t>
  </si>
  <si>
    <t>Строительство КМТП (СТП) - 63 кВА</t>
  </si>
  <si>
    <t>Строительство КМТП (СТП) - 100 кВА</t>
  </si>
  <si>
    <t>Строительство КМТП (СТП) - 160 кВА</t>
  </si>
  <si>
    <t>Строительство КТПН-40 кВА</t>
  </si>
  <si>
    <t>Строительство КТПН-63 кВА</t>
  </si>
  <si>
    <t>Строительство КТПН-2х160 кВА</t>
  </si>
  <si>
    <t>Строительство КТПН-2х1000 кВА</t>
  </si>
  <si>
    <t>Установка ВА-400 А</t>
  </si>
  <si>
    <t>Установка рубильника 0,4 кВ 250 А</t>
  </si>
  <si>
    <t>Установка рубильника 0,4 кВ 400 А</t>
  </si>
  <si>
    <t>Установка рубильника 0,4 кВ 630 А</t>
  </si>
  <si>
    <t>Монтаж ответвления к зданию в 2 провода</t>
  </si>
  <si>
    <t>Монтаж ответвления к зданию в 4 провода</t>
  </si>
  <si>
    <t>1 ответвление</t>
  </si>
  <si>
    <t>Установка ВА-250 А</t>
  </si>
  <si>
    <t>Установка ТТ 0,4 кВ 200/5</t>
  </si>
  <si>
    <t>Установка ТТ 0,4 кВ 400/5</t>
  </si>
  <si>
    <t>Установка ТТ 0,4 кВ 600/5</t>
  </si>
  <si>
    <t>Установка ТТ 0,4 кВ 800/5</t>
  </si>
  <si>
    <t>Локальный сметный расчёт №60</t>
  </si>
  <si>
    <t>Локальный сметный расчёт №61</t>
  </si>
  <si>
    <t>Локальный сметный расчёт №62</t>
  </si>
  <si>
    <t>Локальный сметный расчёт №63</t>
  </si>
  <si>
    <t>Локальный сметный расчёт №64</t>
  </si>
  <si>
    <t>Локальный сметный расчёт №65</t>
  </si>
  <si>
    <t>Локальный сметный расчёт №66</t>
  </si>
  <si>
    <t>Локальный сметный расчёт №67</t>
  </si>
  <si>
    <t>Локальный сметный расчёт №68</t>
  </si>
  <si>
    <t>Локальный сметный расчёт №69</t>
  </si>
  <si>
    <t>Локальный сметный расчёт №70</t>
  </si>
  <si>
    <t>Локальный сметный расчёт №71</t>
  </si>
  <si>
    <t>Локальный сметный расчёт №72</t>
  </si>
  <si>
    <t>Локальный сметный расчёт №73</t>
  </si>
  <si>
    <t>Локальный сметный расчёт №74</t>
  </si>
  <si>
    <t>Локальный сметный расчёт №75</t>
  </si>
  <si>
    <t>Локальный сметный расчёт №76</t>
  </si>
  <si>
    <t>Локальный сметный расчёт №77</t>
  </si>
  <si>
    <t>Локальный сметный расчёт №78</t>
  </si>
  <si>
    <t>Локальный сметный расчёт №79</t>
  </si>
  <si>
    <t>Локальный сметный расчёт №80</t>
  </si>
  <si>
    <t>Локальный сметный расчёт №81</t>
  </si>
  <si>
    <t>Локальный сметный расчёт №82</t>
  </si>
  <si>
    <t>Локальный сметный расчёт №83</t>
  </si>
  <si>
    <t>Локальный сметный расчёт №84</t>
  </si>
  <si>
    <t>Локальный сметный расчёт №85</t>
  </si>
  <si>
    <t>Локальный сметный расчёт №86</t>
  </si>
  <si>
    <t>Локальный сметный расчёт №87</t>
  </si>
  <si>
    <t>Локальный сметный расчёт №88</t>
  </si>
  <si>
    <t>Локальный сметный расчёт №89</t>
  </si>
  <si>
    <t>Локальный сметный расчёт №90</t>
  </si>
  <si>
    <t>Локальный сметный расчёт №91</t>
  </si>
  <si>
    <t>Локальный сметный расчёт №92</t>
  </si>
  <si>
    <t>Локальный сметный расчёт №93</t>
  </si>
  <si>
    <t>Локальный сметный расчёт №94</t>
  </si>
  <si>
    <t>Локальный сметный расчёт №95</t>
  </si>
  <si>
    <t>Локальный сметный расчёт №96</t>
  </si>
  <si>
    <t>Вырубка зеленых насаждений и благоустройство</t>
  </si>
  <si>
    <t>Локальный сметный расчёт №97</t>
  </si>
  <si>
    <t>Разборка и восстановление асфальтобетонного покрытия</t>
  </si>
  <si>
    <t>100 м3</t>
  </si>
  <si>
    <t>Итого по разделу - Вырубка зеленых насаждений и благоустройство</t>
  </si>
  <si>
    <t>Снятие ответвлений ВЛ-0,4 кВ к зданиям в 2 провода</t>
  </si>
  <si>
    <t>Снятие ответвлений ВЛ-0,4 кВ к зданиям в 4 провода</t>
  </si>
  <si>
    <t>100 км</t>
  </si>
  <si>
    <t>Перегон машин (бортовая 8 т, бур, АГП, кран 10 т)</t>
  </si>
  <si>
    <t>Перегон машин (бортовая 8 т, кран 10 т)</t>
  </si>
  <si>
    <t>Локальный сметный расчёт №98</t>
  </si>
  <si>
    <t>Локальный сметный расчёт №99</t>
  </si>
  <si>
    <t>Локальный сметный расчёт №100</t>
  </si>
  <si>
    <t>Локальный сметный расчёт №101</t>
  </si>
  <si>
    <t>Локальный сметный расчёт №102</t>
  </si>
  <si>
    <t>Локальный сметный расчёт №103</t>
  </si>
  <si>
    <t>Локальный сметный расчёт №104</t>
  </si>
  <si>
    <t>Локальный сметный расчёт №105</t>
  </si>
  <si>
    <t>Локальный сметный расчёт №106</t>
  </si>
  <si>
    <t>Локальный сметный расчёт №107</t>
  </si>
  <si>
    <t>Локальный сметный расчёт №108</t>
  </si>
  <si>
    <t>Локальный сметный расчёт №109</t>
  </si>
  <si>
    <t>Локальный сметный расчёт №110</t>
  </si>
  <si>
    <t>Локальный сметный расчёт №111</t>
  </si>
  <si>
    <t>Локальный сметный расчёт №112</t>
  </si>
  <si>
    <t>Локальный сметный расчёт №113</t>
  </si>
  <si>
    <t>Локальный сметный расчёт №114</t>
  </si>
  <si>
    <t>Локальный сметный расчёт №115</t>
  </si>
  <si>
    <t>Проектно-изыскательские работы</t>
  </si>
  <si>
    <t>Изготовление схемы границ на КПТ под размещение ЛЭП длиной до 300 м</t>
  </si>
  <si>
    <t>Изготовление схемы границ на КПТ под размещение ЛЭП длиной свыше 300 м</t>
  </si>
  <si>
    <t>1 объект</t>
  </si>
  <si>
    <t>1000 м</t>
  </si>
  <si>
    <t>1000 м ЛЭП</t>
  </si>
  <si>
    <t>Изготовление схемы границ на КПТ под размещение КТП</t>
  </si>
  <si>
    <t>1 Га (10000 м2)</t>
  </si>
  <si>
    <t>Выполнение топографической съемки М:1:500 (незастроенная территория)</t>
  </si>
  <si>
    <t>Выполнение топографической съемки М:1:500 (застроенная территория)</t>
  </si>
  <si>
    <t>Смета №116</t>
  </si>
  <si>
    <t>Смета №117</t>
  </si>
  <si>
    <t>Смета №118</t>
  </si>
  <si>
    <t>Смета №119</t>
  </si>
  <si>
    <t>Смета №120</t>
  </si>
  <si>
    <t>Смета №121</t>
  </si>
  <si>
    <t>Смета №122</t>
  </si>
  <si>
    <t>Смета №123</t>
  </si>
  <si>
    <t>Смета №124</t>
  </si>
  <si>
    <t>Смета №125</t>
  </si>
  <si>
    <t>Смета №126</t>
  </si>
  <si>
    <t>Техническое задание на выполнение работ</t>
  </si>
  <si>
    <t>Стоимость материалов, реализуемых заказчиком по договору купли-продажи подрядчику</t>
  </si>
  <si>
    <t>Итого по разделу - Проектно-изыскательские работы</t>
  </si>
  <si>
    <t>Локальный сметный расчет № 30*</t>
  </si>
  <si>
    <t>Подвеска провода СИП2А 3*50 + 1*50 (без учета стоимости провода)</t>
  </si>
  <si>
    <t>ПИР - ВЛ - 0,4 кВ длиной до 1000 м</t>
  </si>
  <si>
    <t>ПИР - ВЛ - 6(10) кВ длиной до 1000 м</t>
  </si>
  <si>
    <t>ПИР - ВЛ -0,4 кВ кВ длиной свыше 1000 м</t>
  </si>
  <si>
    <t>ПИР - ВЛ -6(10) кВ длиной свыше 1000 м</t>
  </si>
  <si>
    <t>ПИР - КЛ длиной до 500 м</t>
  </si>
  <si>
    <t>ПИР - КЛ длиной свыше 500 до 1000 м</t>
  </si>
  <si>
    <t>ПИР - КЛ длиной свыше 1000 до5000 м</t>
  </si>
  <si>
    <t>ПИР - КТП (СТП) до 160кВА</t>
  </si>
  <si>
    <t>ПИР - КТПН</t>
  </si>
  <si>
    <t>ПИР - Прокол методом ГНБ</t>
  </si>
  <si>
    <t>Смета №127</t>
  </si>
  <si>
    <t>Смета №128</t>
  </si>
  <si>
    <t>Вынос внатуру</t>
  </si>
  <si>
    <t>1 точка</t>
  </si>
  <si>
    <t>Смета №129</t>
  </si>
  <si>
    <t>Смета №130</t>
  </si>
  <si>
    <t>Смета №131</t>
  </si>
  <si>
    <t>Расчёт №132</t>
  </si>
  <si>
    <t>Расчёт №133</t>
  </si>
  <si>
    <t>Подвеска провода СИП2А 3*70 + 1*50</t>
  </si>
  <si>
    <t>итого КМТП (СТП)</t>
  </si>
  <si>
    <t>итого КТПН</t>
  </si>
  <si>
    <t>итого ТМГ</t>
  </si>
  <si>
    <t>итого ВА</t>
  </si>
  <si>
    <t>итого рубильник</t>
  </si>
  <si>
    <t>итого ТТ</t>
  </si>
  <si>
    <t>материалы, 
руб</t>
  </si>
  <si>
    <t>работы, 
руб</t>
  </si>
  <si>
    <t>обору-
дование, руб</t>
  </si>
  <si>
    <t>Локальный сметный расчёт №50.1</t>
  </si>
  <si>
    <t>Локальный сметный расчёт №51.1</t>
  </si>
  <si>
    <t>Монтаж ответвления к зданию в 2 провода (без уч.провода)</t>
  </si>
  <si>
    <t>Монтаж ответвления к зданию в 4 провода (без уч.провода)</t>
  </si>
  <si>
    <t>Установка ВА до 160 А</t>
  </si>
  <si>
    <t>Установка ВА-630 А</t>
  </si>
  <si>
    <t>Установка ВА-1000 А</t>
  </si>
  <si>
    <t>Локальный сметный расчёт №85.1</t>
  </si>
  <si>
    <t>Локальный сметный расчёт №85.2</t>
  </si>
  <si>
    <t>Локальный сметный расчёт №92.1</t>
  </si>
  <si>
    <t>Установка ТТ 0,4 кВ 1000/5</t>
  </si>
  <si>
    <t>Локальный сметный расчёт №54.1</t>
  </si>
  <si>
    <t>КЛ - 6 (10) кВ - 2 цепи</t>
  </si>
  <si>
    <r>
      <t>Объект: С</t>
    </r>
    <r>
      <rPr>
        <u/>
        <sz val="12"/>
        <rFont val="Calibri"/>
        <family val="2"/>
        <charset val="204"/>
      </rPr>
      <t>троительство сетей 6(10)/0,4 кВ в Пожарском районе и Дальнереченском районе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</si>
</sst>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00"/>
    <numFmt numFmtId="165" formatCode="#,##0.0000"/>
    <numFmt numFmtId="166" formatCode="#,##0.00\ _₽"/>
  </numFmts>
  <fonts count="11" x14ac:knownFonts="1">
    <font>
      <sz val="10"/>
      <name val="Arial"/>
    </font>
    <font>
      <sz val="12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i/>
      <sz val="12"/>
      <name val="Calibri"/>
      <family val="2"/>
      <charset val="204"/>
      <scheme val="minor"/>
    </font>
    <font>
      <u/>
      <sz val="12"/>
      <name val="Calibri"/>
      <family val="2"/>
      <charset val="204"/>
    </font>
    <font>
      <b/>
      <i/>
      <sz val="12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b/>
      <sz val="12"/>
      <color rgb="FFC0000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5" tint="0.79998168889431442"/>
        <bgColor indexed="64"/>
      </patternFill>
    </fill>
  </fills>
  <borders count="4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9" fontId="7" fillId="0" borderId="0" applyFont="0" applyFill="0" applyBorder="0" applyAlignment="0" applyProtection="0"/>
  </cellStyleXfs>
  <cellXfs count="146"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horizontal="right" vertical="top"/>
    </xf>
    <xf numFmtId="0" fontId="1" fillId="0" borderId="0" xfId="0" applyFont="1"/>
    <xf numFmtId="0" fontId="1" fillId="0" borderId="0" xfId="0" applyFont="1" applyBorder="1" applyAlignment="1">
      <alignment horizontal="left" vertical="center" wrapText="1"/>
    </xf>
    <xf numFmtId="3" fontId="1" fillId="0" borderId="0" xfId="0" applyNumberFormat="1" applyFont="1" applyBorder="1" applyAlignment="1">
      <alignment horizontal="left" vertical="center" wrapText="1"/>
    </xf>
    <xf numFmtId="4" fontId="1" fillId="0" borderId="0" xfId="0" applyNumberFormat="1" applyFont="1" applyBorder="1" applyAlignment="1">
      <alignment horizontal="left" vertical="center" wrapText="1"/>
    </xf>
    <xf numFmtId="4" fontId="1" fillId="0" borderId="0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0" xfId="0" applyFont="1" applyAlignment="1">
      <alignment horizontal="center"/>
    </xf>
    <xf numFmtId="4" fontId="1" fillId="0" borderId="0" xfId="0" applyNumberFormat="1" applyFont="1" applyAlignment="1">
      <alignment horizontal="left" vertical="center" wrapText="1"/>
    </xf>
    <xf numFmtId="4" fontId="1" fillId="0" borderId="3" xfId="0" applyNumberFormat="1" applyFont="1" applyBorder="1" applyAlignment="1">
      <alignment horizontal="left" vertical="center" wrapText="1"/>
    </xf>
    <xf numFmtId="4" fontId="1" fillId="0" borderId="4" xfId="0" applyNumberFormat="1" applyFont="1" applyBorder="1" applyAlignment="1">
      <alignment horizontal="left" vertical="center" wrapText="1"/>
    </xf>
    <xf numFmtId="4" fontId="1" fillId="0" borderId="0" xfId="0" applyNumberFormat="1" applyFont="1"/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4" fontId="2" fillId="2" borderId="8" xfId="0" applyNumberFormat="1" applyFont="1" applyFill="1" applyBorder="1" applyAlignment="1">
      <alignment horizontal="center" vertical="center" wrapText="1"/>
    </xf>
    <xf numFmtId="4" fontId="2" fillId="2" borderId="9" xfId="0" applyNumberFormat="1" applyFont="1" applyFill="1" applyBorder="1" applyAlignment="1">
      <alignment horizontal="center" vertical="center" wrapText="1"/>
    </xf>
    <xf numFmtId="4" fontId="1" fillId="0" borderId="10" xfId="0" applyNumberFormat="1" applyFont="1" applyBorder="1" applyAlignment="1">
      <alignment horizontal="left" vertical="center" wrapText="1"/>
    </xf>
    <xf numFmtId="4" fontId="2" fillId="0" borderId="11" xfId="0" applyNumberFormat="1" applyFont="1" applyBorder="1" applyAlignment="1">
      <alignment horizontal="left" vertical="center" wrapText="1"/>
    </xf>
    <xf numFmtId="0" fontId="3" fillId="0" borderId="0" xfId="0" applyFont="1"/>
    <xf numFmtId="4" fontId="2" fillId="0" borderId="12" xfId="0" applyNumberFormat="1" applyFont="1" applyBorder="1" applyAlignment="1">
      <alignment horizontal="left" vertical="center" wrapText="1"/>
    </xf>
    <xf numFmtId="4" fontId="1" fillId="0" borderId="13" xfId="0" applyNumberFormat="1" applyFont="1" applyBorder="1" applyAlignment="1">
      <alignment horizontal="left" vertical="center" wrapText="1"/>
    </xf>
    <xf numFmtId="4" fontId="1" fillId="0" borderId="14" xfId="0" applyNumberFormat="1" applyFont="1" applyBorder="1" applyAlignment="1">
      <alignment horizontal="left" vertical="center" wrapText="1"/>
    </xf>
    <xf numFmtId="4" fontId="1" fillId="0" borderId="15" xfId="0" applyNumberFormat="1" applyFont="1" applyBorder="1" applyAlignment="1">
      <alignment horizontal="left" vertical="center" wrapText="1"/>
    </xf>
    <xf numFmtId="4" fontId="1" fillId="0" borderId="16" xfId="0" applyNumberFormat="1" applyFont="1" applyBorder="1" applyAlignment="1">
      <alignment horizontal="left" vertical="center" wrapText="1"/>
    </xf>
    <xf numFmtId="4" fontId="1" fillId="0" borderId="17" xfId="0" applyNumberFormat="1" applyFont="1" applyBorder="1" applyAlignment="1">
      <alignment horizontal="left" vertical="center" wrapText="1"/>
    </xf>
    <xf numFmtId="4" fontId="1" fillId="0" borderId="18" xfId="0" applyNumberFormat="1" applyFont="1" applyBorder="1" applyAlignment="1">
      <alignment horizontal="left" vertical="center" wrapText="1"/>
    </xf>
    <xf numFmtId="0" fontId="1" fillId="0" borderId="19" xfId="0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left" vertical="center" wrapText="1"/>
    </xf>
    <xf numFmtId="0" fontId="1" fillId="0" borderId="14" xfId="0" applyFont="1" applyBorder="1" applyAlignment="1">
      <alignment horizontal="left" vertical="center" wrapText="1"/>
    </xf>
    <xf numFmtId="0" fontId="1" fillId="0" borderId="18" xfId="0" applyFont="1" applyBorder="1" applyAlignment="1">
      <alignment horizontal="left" vertical="center" wrapText="1"/>
    </xf>
    <xf numFmtId="0" fontId="1" fillId="0" borderId="21" xfId="0" applyFont="1" applyBorder="1" applyAlignment="1">
      <alignment horizontal="left" vertical="center" wrapText="1"/>
    </xf>
    <xf numFmtId="0" fontId="1" fillId="0" borderId="22" xfId="0" applyFont="1" applyBorder="1" applyAlignment="1">
      <alignment horizontal="left" vertical="center" wrapText="1"/>
    </xf>
    <xf numFmtId="0" fontId="1" fillId="0" borderId="23" xfId="0" applyFont="1" applyBorder="1" applyAlignment="1">
      <alignment horizontal="left" vertical="center" wrapText="1"/>
    </xf>
    <xf numFmtId="0" fontId="1" fillId="0" borderId="15" xfId="0" applyFont="1" applyBorder="1" applyAlignment="1">
      <alignment horizontal="left" vertical="center" wrapText="1"/>
    </xf>
    <xf numFmtId="0" fontId="1" fillId="0" borderId="16" xfId="0" applyFont="1" applyBorder="1" applyAlignment="1">
      <alignment horizontal="left" vertical="center" wrapText="1"/>
    </xf>
    <xf numFmtId="0" fontId="1" fillId="0" borderId="24" xfId="0" applyFont="1" applyBorder="1" applyAlignment="1">
      <alignment horizontal="left" vertical="center" wrapText="1"/>
    </xf>
    <xf numFmtId="0" fontId="1" fillId="0" borderId="25" xfId="0" applyFont="1" applyBorder="1" applyAlignment="1">
      <alignment horizontal="left" vertical="center" wrapText="1"/>
    </xf>
    <xf numFmtId="0" fontId="1" fillId="0" borderId="0" xfId="0" applyFont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49" fontId="1" fillId="0" borderId="0" xfId="0" applyNumberFormat="1" applyFont="1" applyBorder="1" applyAlignment="1">
      <alignment horizontal="left"/>
    </xf>
    <xf numFmtId="0" fontId="1" fillId="0" borderId="0" xfId="0" applyFont="1" applyBorder="1" applyAlignment="1">
      <alignment horizontal="left"/>
    </xf>
    <xf numFmtId="4" fontId="2" fillId="0" borderId="17" xfId="0" applyNumberFormat="1" applyFont="1" applyBorder="1" applyAlignment="1">
      <alignment horizontal="left" vertical="center" wrapText="1"/>
    </xf>
    <xf numFmtId="4" fontId="1" fillId="0" borderId="24" xfId="0" applyNumberFormat="1" applyFont="1" applyBorder="1" applyAlignment="1">
      <alignment horizontal="left" vertical="center" wrapText="1"/>
    </xf>
    <xf numFmtId="4" fontId="1" fillId="0" borderId="25" xfId="0" applyNumberFormat="1" applyFont="1" applyBorder="1" applyAlignment="1">
      <alignment horizontal="left" vertical="center" wrapText="1"/>
    </xf>
    <xf numFmtId="0" fontId="1" fillId="0" borderId="17" xfId="0" applyFont="1" applyBorder="1" applyAlignment="1">
      <alignment horizontal="left" vertical="center" wrapText="1"/>
    </xf>
    <xf numFmtId="0" fontId="4" fillId="0" borderId="13" xfId="0" applyFont="1" applyBorder="1" applyAlignment="1">
      <alignment horizontal="left" vertical="center" wrapText="1"/>
    </xf>
    <xf numFmtId="0" fontId="4" fillId="0" borderId="16" xfId="0" applyFont="1" applyBorder="1" applyAlignment="1">
      <alignment horizontal="left" vertical="center" wrapText="1"/>
    </xf>
    <xf numFmtId="0" fontId="4" fillId="0" borderId="21" xfId="0" applyFont="1" applyBorder="1" applyAlignment="1">
      <alignment horizontal="left" vertical="center" wrapText="1"/>
    </xf>
    <xf numFmtId="4" fontId="4" fillId="0" borderId="3" xfId="0" applyNumberFormat="1" applyFont="1" applyBorder="1" applyAlignment="1">
      <alignment horizontal="left" vertical="center" wrapText="1"/>
    </xf>
    <xf numFmtId="4" fontId="4" fillId="0" borderId="13" xfId="0" applyNumberFormat="1" applyFont="1" applyBorder="1" applyAlignment="1">
      <alignment horizontal="left" vertical="center" wrapText="1"/>
    </xf>
    <xf numFmtId="4" fontId="4" fillId="0" borderId="16" xfId="0" applyNumberFormat="1" applyFont="1" applyBorder="1" applyAlignment="1">
      <alignment horizontal="left" vertical="center" wrapText="1"/>
    </xf>
    <xf numFmtId="0" fontId="4" fillId="0" borderId="14" xfId="0" applyFont="1" applyBorder="1" applyAlignment="1">
      <alignment horizontal="left" vertical="center" wrapText="1"/>
    </xf>
    <xf numFmtId="4" fontId="4" fillId="0" borderId="4" xfId="0" applyNumberFormat="1" applyFont="1" applyBorder="1" applyAlignment="1">
      <alignment horizontal="left" vertical="center" wrapText="1"/>
    </xf>
    <xf numFmtId="4" fontId="4" fillId="0" borderId="14" xfId="0" applyNumberFormat="1" applyFont="1" applyBorder="1" applyAlignment="1">
      <alignment horizontal="left" vertical="center" wrapText="1"/>
    </xf>
    <xf numFmtId="0" fontId="4" fillId="0" borderId="24" xfId="0" applyFont="1" applyBorder="1" applyAlignment="1">
      <alignment horizontal="left" vertical="center" wrapText="1"/>
    </xf>
    <xf numFmtId="0" fontId="4" fillId="0" borderId="22" xfId="0" applyFont="1" applyBorder="1" applyAlignment="1">
      <alignment horizontal="left" vertical="center" wrapText="1"/>
    </xf>
    <xf numFmtId="0" fontId="4" fillId="0" borderId="0" xfId="0" applyFont="1"/>
    <xf numFmtId="4" fontId="4" fillId="0" borderId="24" xfId="0" applyNumberFormat="1" applyFont="1" applyBorder="1" applyAlignment="1">
      <alignment horizontal="left" vertical="center" wrapText="1"/>
    </xf>
    <xf numFmtId="0" fontId="4" fillId="0" borderId="23" xfId="0" applyFont="1" applyBorder="1" applyAlignment="1">
      <alignment horizontal="left" vertical="center" wrapText="1"/>
    </xf>
    <xf numFmtId="4" fontId="4" fillId="0" borderId="10" xfId="0" applyNumberFormat="1" applyFont="1" applyBorder="1" applyAlignment="1">
      <alignment horizontal="left" vertical="center" wrapText="1"/>
    </xf>
    <xf numFmtId="4" fontId="4" fillId="0" borderId="18" xfId="0" applyNumberFormat="1" applyFont="1" applyBorder="1" applyAlignment="1">
      <alignment horizontal="left" vertical="center" wrapText="1"/>
    </xf>
    <xf numFmtId="4" fontId="2" fillId="0" borderId="33" xfId="0" applyNumberFormat="1" applyFont="1" applyBorder="1" applyAlignment="1">
      <alignment horizontal="left" vertical="center" wrapText="1"/>
    </xf>
    <xf numFmtId="4" fontId="3" fillId="0" borderId="17" xfId="0" applyNumberFormat="1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19" xfId="0" applyFont="1" applyBorder="1" applyAlignment="1">
      <alignment horizontal="left" vertical="center" wrapText="1"/>
    </xf>
    <xf numFmtId="4" fontId="1" fillId="0" borderId="11" xfId="0" applyNumberFormat="1" applyFont="1" applyBorder="1" applyAlignment="1">
      <alignment horizontal="left" vertical="center" wrapText="1"/>
    </xf>
    <xf numFmtId="164" fontId="1" fillId="0" borderId="3" xfId="0" applyNumberFormat="1" applyFont="1" applyBorder="1" applyAlignment="1">
      <alignment horizontal="left" vertical="center" wrapText="1"/>
    </xf>
    <xf numFmtId="165" fontId="1" fillId="0" borderId="3" xfId="0" applyNumberFormat="1" applyFont="1" applyBorder="1" applyAlignment="1">
      <alignment horizontal="left" vertical="center" wrapText="1"/>
    </xf>
    <xf numFmtId="0" fontId="6" fillId="0" borderId="24" xfId="0" applyFont="1" applyBorder="1" applyAlignment="1">
      <alignment horizontal="left" vertical="center" wrapText="1"/>
    </xf>
    <xf numFmtId="0" fontId="6" fillId="0" borderId="16" xfId="0" applyFont="1" applyBorder="1" applyAlignment="1">
      <alignment horizontal="left" vertical="center" wrapText="1"/>
    </xf>
    <xf numFmtId="4" fontId="1" fillId="0" borderId="13" xfId="0" applyNumberFormat="1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13" xfId="0" applyFont="1" applyFill="1" applyBorder="1" applyAlignment="1">
      <alignment horizontal="left" vertical="center" wrapText="1"/>
    </xf>
    <xf numFmtId="0" fontId="1" fillId="0" borderId="16" xfId="0" applyFont="1" applyFill="1" applyBorder="1" applyAlignment="1">
      <alignment horizontal="left" vertical="center" wrapText="1"/>
    </xf>
    <xf numFmtId="0" fontId="1" fillId="0" borderId="21" xfId="0" applyFont="1" applyFill="1" applyBorder="1" applyAlignment="1">
      <alignment horizontal="left" vertical="center" wrapText="1"/>
    </xf>
    <xf numFmtId="4" fontId="1" fillId="0" borderId="3" xfId="0" applyNumberFormat="1" applyFont="1" applyFill="1" applyBorder="1" applyAlignment="1">
      <alignment horizontal="left" vertical="center" wrapText="1"/>
    </xf>
    <xf numFmtId="4" fontId="1" fillId="0" borderId="16" xfId="0" applyNumberFormat="1" applyFont="1" applyFill="1" applyBorder="1" applyAlignment="1">
      <alignment horizontal="left" vertical="center" wrapText="1"/>
    </xf>
    <xf numFmtId="0" fontId="1" fillId="0" borderId="14" xfId="0" applyFont="1" applyFill="1" applyBorder="1" applyAlignment="1">
      <alignment horizontal="left" vertical="center" wrapText="1"/>
    </xf>
    <xf numFmtId="0" fontId="1" fillId="0" borderId="24" xfId="0" applyFont="1" applyFill="1" applyBorder="1" applyAlignment="1">
      <alignment horizontal="left" vertical="center" wrapText="1"/>
    </xf>
    <xf numFmtId="0" fontId="1" fillId="0" borderId="22" xfId="0" applyFont="1" applyFill="1" applyBorder="1" applyAlignment="1">
      <alignment horizontal="left" vertical="center" wrapText="1"/>
    </xf>
    <xf numFmtId="4" fontId="1" fillId="0" borderId="4" xfId="0" applyNumberFormat="1" applyFont="1" applyFill="1" applyBorder="1" applyAlignment="1">
      <alignment horizontal="left" vertical="center" wrapText="1"/>
    </xf>
    <xf numFmtId="4" fontId="1" fillId="0" borderId="14" xfId="0" applyNumberFormat="1" applyFont="1" applyFill="1" applyBorder="1" applyAlignment="1">
      <alignment horizontal="left" vertical="center" wrapText="1"/>
    </xf>
    <xf numFmtId="4" fontId="2" fillId="0" borderId="11" xfId="0" applyNumberFormat="1" applyFont="1" applyFill="1" applyBorder="1" applyAlignment="1">
      <alignment horizontal="left" vertical="center" wrapText="1"/>
    </xf>
    <xf numFmtId="0" fontId="1" fillId="0" borderId="15" xfId="0" applyFont="1" applyFill="1" applyBorder="1" applyAlignment="1">
      <alignment horizontal="left" vertical="center" wrapText="1"/>
    </xf>
    <xf numFmtId="4" fontId="1" fillId="0" borderId="15" xfId="0" applyNumberFormat="1" applyFont="1" applyFill="1" applyBorder="1" applyAlignment="1">
      <alignment horizontal="left" vertical="center" wrapText="1"/>
    </xf>
    <xf numFmtId="0" fontId="8" fillId="0" borderId="0" xfId="0" applyFont="1" applyAlignment="1">
      <alignment horizontal="center" wrapText="1"/>
    </xf>
    <xf numFmtId="4" fontId="1" fillId="0" borderId="39" xfId="0" applyNumberFormat="1" applyFont="1" applyBorder="1" applyAlignment="1">
      <alignment horizontal="left" vertical="center" wrapText="1"/>
    </xf>
    <xf numFmtId="166" fontId="1" fillId="0" borderId="0" xfId="0" applyNumberFormat="1" applyFont="1" applyAlignment="1">
      <alignment horizontal="right"/>
    </xf>
    <xf numFmtId="166" fontId="4" fillId="0" borderId="0" xfId="0" applyNumberFormat="1" applyFont="1" applyAlignment="1">
      <alignment horizontal="right"/>
    </xf>
    <xf numFmtId="166" fontId="1" fillId="0" borderId="0" xfId="0" applyNumberFormat="1" applyFont="1" applyFill="1" applyAlignment="1">
      <alignment horizontal="right"/>
    </xf>
    <xf numFmtId="166" fontId="1" fillId="3" borderId="0" xfId="0" applyNumberFormat="1" applyFont="1" applyFill="1" applyAlignment="1">
      <alignment horizontal="right"/>
    </xf>
    <xf numFmtId="166" fontId="2" fillId="3" borderId="0" xfId="0" applyNumberFormat="1" applyFont="1" applyFill="1" applyAlignment="1">
      <alignment horizontal="right"/>
    </xf>
    <xf numFmtId="166" fontId="3" fillId="0" borderId="0" xfId="0" applyNumberFormat="1" applyFont="1" applyAlignment="1">
      <alignment horizontal="right"/>
    </xf>
    <xf numFmtId="166" fontId="2" fillId="3" borderId="0" xfId="0" applyNumberFormat="1" applyFont="1" applyFill="1" applyAlignment="1">
      <alignment horizontal="right" vertical="center" wrapText="1"/>
    </xf>
    <xf numFmtId="166" fontId="1" fillId="0" borderId="0" xfId="0" applyNumberFormat="1" applyFont="1" applyAlignment="1">
      <alignment horizontal="right" vertical="center" wrapText="1"/>
    </xf>
    <xf numFmtId="166" fontId="10" fillId="0" borderId="0" xfId="0" applyNumberFormat="1" applyFont="1" applyAlignment="1">
      <alignment horizontal="right"/>
    </xf>
    <xf numFmtId="9" fontId="1" fillId="0" borderId="0" xfId="1" applyFont="1" applyAlignment="1">
      <alignment horizontal="left" vertical="center" wrapText="1"/>
    </xf>
    <xf numFmtId="9" fontId="1" fillId="0" borderId="0" xfId="0" applyNumberFormat="1" applyFont="1" applyAlignment="1">
      <alignment horizontal="right" vertical="center" wrapText="1"/>
    </xf>
    <xf numFmtId="0" fontId="9" fillId="0" borderId="36" xfId="0" applyFont="1" applyBorder="1" applyAlignment="1">
      <alignment horizontal="left" vertical="center" wrapText="1"/>
    </xf>
    <xf numFmtId="0" fontId="1" fillId="0" borderId="37" xfId="0" applyFont="1" applyBorder="1" applyAlignment="1">
      <alignment horizontal="left" vertical="center" wrapText="1"/>
    </xf>
    <xf numFmtId="0" fontId="1" fillId="0" borderId="38" xfId="0" applyFont="1" applyBorder="1" applyAlignment="1">
      <alignment horizontal="left" vertical="center" wrapText="1"/>
    </xf>
    <xf numFmtId="0" fontId="9" fillId="0" borderId="36" xfId="0" applyFont="1" applyFill="1" applyBorder="1" applyAlignment="1">
      <alignment horizontal="left" vertical="center" wrapText="1"/>
    </xf>
    <xf numFmtId="0" fontId="9" fillId="0" borderId="37" xfId="0" applyFont="1" applyFill="1" applyBorder="1" applyAlignment="1">
      <alignment horizontal="left" vertical="center" wrapText="1"/>
    </xf>
    <xf numFmtId="0" fontId="9" fillId="0" borderId="38" xfId="0" applyFont="1" applyFill="1" applyBorder="1" applyAlignment="1">
      <alignment horizontal="left" vertical="center" wrapText="1"/>
    </xf>
    <xf numFmtId="0" fontId="9" fillId="0" borderId="37" xfId="0" applyFont="1" applyBorder="1" applyAlignment="1">
      <alignment horizontal="left" vertical="center" wrapText="1"/>
    </xf>
    <xf numFmtId="0" fontId="9" fillId="0" borderId="38" xfId="0" applyFont="1" applyBorder="1" applyAlignment="1">
      <alignment horizontal="left" vertical="center" wrapText="1"/>
    </xf>
    <xf numFmtId="0" fontId="1" fillId="0" borderId="26" xfId="0" applyFont="1" applyBorder="1" applyAlignment="1">
      <alignment horizontal="left" vertical="center" wrapText="1"/>
    </xf>
    <xf numFmtId="0" fontId="1" fillId="0" borderId="27" xfId="0" applyFont="1" applyBorder="1" applyAlignment="1">
      <alignment horizontal="left" vertical="center" wrapText="1"/>
    </xf>
    <xf numFmtId="0" fontId="1" fillId="0" borderId="12" xfId="0" applyFont="1" applyBorder="1" applyAlignment="1">
      <alignment horizontal="left" vertical="center" wrapText="1"/>
    </xf>
    <xf numFmtId="0" fontId="3" fillId="0" borderId="34" xfId="0" applyFont="1" applyBorder="1" applyAlignment="1">
      <alignment horizontal="left" vertical="center" wrapText="1"/>
    </xf>
    <xf numFmtId="0" fontId="3" fillId="0" borderId="31" xfId="0" applyFont="1" applyBorder="1" applyAlignment="1">
      <alignment horizontal="left" vertical="center" wrapText="1"/>
    </xf>
    <xf numFmtId="0" fontId="3" fillId="0" borderId="35" xfId="0" applyFont="1" applyBorder="1" applyAlignment="1">
      <alignment horizontal="left" vertical="center" wrapText="1"/>
    </xf>
    <xf numFmtId="0" fontId="2" fillId="0" borderId="26" xfId="0" applyFont="1" applyBorder="1" applyAlignment="1">
      <alignment horizontal="left" vertical="center" wrapText="1"/>
    </xf>
    <xf numFmtId="0" fontId="2" fillId="0" borderId="27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left" vertical="center" wrapText="1"/>
    </xf>
    <xf numFmtId="0" fontId="3" fillId="0" borderId="26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4" fontId="1" fillId="0" borderId="0" xfId="0" applyNumberFormat="1" applyFont="1" applyBorder="1" applyAlignment="1">
      <alignment horizontal="right"/>
    </xf>
    <xf numFmtId="4" fontId="1" fillId="0" borderId="0" xfId="0" applyNumberFormat="1" applyFont="1" applyAlignment="1">
      <alignment horizontal="right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2" fillId="0" borderId="31" xfId="0" applyFont="1" applyBorder="1" applyAlignment="1">
      <alignment horizontal="left" vertical="center" wrapText="1"/>
    </xf>
    <xf numFmtId="0" fontId="2" fillId="0" borderId="26" xfId="0" applyFont="1" applyFill="1" applyBorder="1" applyAlignment="1">
      <alignment horizontal="left" vertical="center" wrapText="1"/>
    </xf>
    <xf numFmtId="0" fontId="2" fillId="0" borderId="27" xfId="0" applyFont="1" applyFill="1" applyBorder="1" applyAlignment="1">
      <alignment horizontal="left" vertical="center" wrapText="1"/>
    </xf>
    <xf numFmtId="0" fontId="2" fillId="0" borderId="12" xfId="0" applyFont="1" applyFill="1" applyBorder="1" applyAlignment="1">
      <alignment horizontal="left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2" fillId="0" borderId="32" xfId="0" applyFont="1" applyBorder="1" applyAlignment="1">
      <alignment horizontal="left" vertical="center" wrapText="1"/>
    </xf>
    <xf numFmtId="0" fontId="2" fillId="0" borderId="29" xfId="0" applyFont="1" applyBorder="1" applyAlignment="1">
      <alignment horizontal="left" vertical="center" wrapText="1"/>
    </xf>
    <xf numFmtId="0" fontId="2" fillId="0" borderId="30" xfId="0" applyFont="1" applyBorder="1" applyAlignment="1">
      <alignment horizontal="left" vertical="center"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152400</xdr:colOff>
      <xdr:row>0</xdr:row>
      <xdr:rowOff>0</xdr:rowOff>
    </xdr:from>
    <xdr:to>
      <xdr:col>7</xdr:col>
      <xdr:colOff>0</xdr:colOff>
      <xdr:row>0</xdr:row>
      <xdr:rowOff>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0"/>
          <a:ext cx="114871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tabColor indexed="42"/>
    <pageSetUpPr fitToPage="1"/>
  </sheetPr>
  <dimension ref="A1:O177"/>
  <sheetViews>
    <sheetView tabSelected="1" view="pageBreakPreview" zoomScale="85" zoomScaleNormal="85" zoomScaleSheetLayoutView="85" workbookViewId="0">
      <selection activeCell="C183" sqref="C183"/>
    </sheetView>
  </sheetViews>
  <sheetFormatPr defaultRowHeight="15.75" x14ac:dyDescent="0.2"/>
  <cols>
    <col min="1" max="1" width="6.85546875" style="1" customWidth="1"/>
    <col min="2" max="2" width="36.85546875" style="1" customWidth="1"/>
    <col min="3" max="3" width="60.7109375" style="1" customWidth="1"/>
    <col min="4" max="4" width="18.7109375" style="1" customWidth="1"/>
    <col min="5" max="5" width="16" style="12" customWidth="1"/>
    <col min="6" max="7" width="17.7109375" style="12" customWidth="1"/>
    <col min="8" max="8" width="13.42578125" style="1" customWidth="1"/>
    <col min="9" max="9" width="13" style="1" customWidth="1"/>
    <col min="10" max="10" width="12.85546875" style="1" customWidth="1"/>
    <col min="11" max="11" width="13.28515625" style="1" customWidth="1"/>
    <col min="12" max="16384" width="9.140625" style="1"/>
  </cols>
  <sheetData>
    <row r="1" spans="1:15" s="4" customFormat="1" x14ac:dyDescent="0.25">
      <c r="A1" s="127" t="s">
        <v>102</v>
      </c>
      <c r="B1" s="127"/>
      <c r="C1" s="127"/>
      <c r="D1" s="127"/>
      <c r="E1" s="127"/>
      <c r="F1" s="127"/>
      <c r="G1" s="127"/>
    </row>
    <row r="2" spans="1:15" s="4" customFormat="1" x14ac:dyDescent="0.25">
      <c r="A2" s="128" t="s">
        <v>103</v>
      </c>
      <c r="B2" s="128"/>
      <c r="C2" s="128"/>
      <c r="D2" s="128"/>
      <c r="E2" s="128"/>
      <c r="F2" s="128"/>
      <c r="G2" s="128"/>
    </row>
    <row r="3" spans="1:15" s="4" customFormat="1" ht="15.75" customHeight="1" x14ac:dyDescent="0.25">
      <c r="A3" s="128" t="s">
        <v>339</v>
      </c>
      <c r="B3" s="128"/>
      <c r="C3" s="128"/>
      <c r="D3" s="128"/>
      <c r="E3" s="128"/>
      <c r="F3" s="128"/>
      <c r="G3" s="128"/>
    </row>
    <row r="4" spans="1:15" s="4" customFormat="1" x14ac:dyDescent="0.25">
      <c r="A4" s="1"/>
      <c r="B4" s="1"/>
      <c r="C4" s="1"/>
      <c r="D4" s="1"/>
      <c r="E4" s="12"/>
      <c r="F4" s="12"/>
      <c r="G4" s="12"/>
    </row>
    <row r="5" spans="1:15" s="4" customFormat="1" x14ac:dyDescent="0.25">
      <c r="A5" s="2"/>
      <c r="B5" s="45" t="s">
        <v>104</v>
      </c>
      <c r="C5" s="46"/>
      <c r="D5" s="129">
        <f>G172/1000</f>
        <v>2534.8569055400003</v>
      </c>
      <c r="E5" s="130"/>
      <c r="F5" s="47" t="s">
        <v>105</v>
      </c>
      <c r="G5" s="48" t="s">
        <v>125</v>
      </c>
      <c r="H5" s="3"/>
      <c r="I5" s="45"/>
      <c r="J5" s="3"/>
      <c r="K5" s="3"/>
      <c r="L5" s="3"/>
      <c r="M5" s="3"/>
      <c r="N5" s="3"/>
      <c r="O5" s="3"/>
    </row>
    <row r="6" spans="1:15" s="4" customFormat="1" ht="16.5" thickBot="1" x14ac:dyDescent="0.3">
      <c r="A6" s="1"/>
      <c r="B6" s="1"/>
      <c r="C6" s="1"/>
      <c r="D6" s="1"/>
      <c r="E6" s="12"/>
      <c r="F6" s="12"/>
      <c r="G6" s="12"/>
    </row>
    <row r="7" spans="1:15" s="11" customFormat="1" ht="32.25" thickBot="1" x14ac:dyDescent="0.3">
      <c r="A7" s="18" t="s">
        <v>2</v>
      </c>
      <c r="B7" s="19" t="s">
        <v>4</v>
      </c>
      <c r="C7" s="19" t="s">
        <v>5</v>
      </c>
      <c r="D7" s="19" t="s">
        <v>6</v>
      </c>
      <c r="E7" s="20" t="s">
        <v>7</v>
      </c>
      <c r="F7" s="20" t="s">
        <v>8</v>
      </c>
      <c r="G7" s="21" t="s">
        <v>3</v>
      </c>
      <c r="H7" s="93" t="s">
        <v>323</v>
      </c>
      <c r="I7" s="93" t="s">
        <v>325</v>
      </c>
      <c r="J7" s="93" t="s">
        <v>324</v>
      </c>
    </row>
    <row r="8" spans="1:15" s="11" customFormat="1" ht="16.5" thickBot="1" x14ac:dyDescent="0.3">
      <c r="A8" s="16">
        <v>1</v>
      </c>
      <c r="B8" s="32">
        <v>2</v>
      </c>
      <c r="C8" s="34">
        <v>3</v>
      </c>
      <c r="D8" s="33">
        <v>4</v>
      </c>
      <c r="E8" s="17">
        <v>5</v>
      </c>
      <c r="F8" s="32">
        <v>6</v>
      </c>
      <c r="G8" s="34">
        <v>7</v>
      </c>
    </row>
    <row r="9" spans="1:15" s="4" customFormat="1" ht="19.5" thickBot="1" x14ac:dyDescent="0.3">
      <c r="A9" s="131" t="s">
        <v>1</v>
      </c>
      <c r="B9" s="132"/>
      <c r="C9" s="132"/>
      <c r="D9" s="132"/>
      <c r="E9" s="132"/>
      <c r="F9" s="132"/>
      <c r="G9" s="133"/>
      <c r="H9" s="95"/>
      <c r="I9" s="95"/>
      <c r="J9" s="95"/>
      <c r="K9" s="95"/>
    </row>
    <row r="10" spans="1:15" s="4" customFormat="1" hidden="1" x14ac:dyDescent="0.25">
      <c r="A10" s="10">
        <v>1</v>
      </c>
      <c r="B10" s="35" t="s">
        <v>9</v>
      </c>
      <c r="C10" s="41" t="s">
        <v>50</v>
      </c>
      <c r="D10" s="38" t="s">
        <v>53</v>
      </c>
      <c r="E10" s="13"/>
      <c r="F10" s="26">
        <v>30932</v>
      </c>
      <c r="G10" s="28">
        <f>E10*F10</f>
        <v>0</v>
      </c>
      <c r="H10" s="95"/>
      <c r="I10" s="95"/>
      <c r="J10" s="95"/>
      <c r="K10" s="95"/>
    </row>
    <row r="11" spans="1:15" s="4" customFormat="1" x14ac:dyDescent="0.25">
      <c r="A11" s="9">
        <v>2</v>
      </c>
      <c r="B11" s="36" t="s">
        <v>10</v>
      </c>
      <c r="C11" s="42" t="s">
        <v>51</v>
      </c>
      <c r="D11" s="38" t="s">
        <v>53</v>
      </c>
      <c r="E11" s="14">
        <v>1</v>
      </c>
      <c r="F11" s="27">
        <v>60343</v>
      </c>
      <c r="G11" s="29">
        <f t="shared" ref="G11:G144" si="0">E11*F11</f>
        <v>60343</v>
      </c>
      <c r="H11" s="95"/>
      <c r="I11" s="95"/>
      <c r="J11" s="95"/>
      <c r="K11" s="95"/>
    </row>
    <row r="12" spans="1:15" s="4" customFormat="1" hidden="1" x14ac:dyDescent="0.25">
      <c r="A12" s="9">
        <v>3</v>
      </c>
      <c r="B12" s="36" t="s">
        <v>11</v>
      </c>
      <c r="C12" s="43" t="s">
        <v>52</v>
      </c>
      <c r="D12" s="38" t="s">
        <v>53</v>
      </c>
      <c r="E12" s="14"/>
      <c r="F12" s="27">
        <v>79192</v>
      </c>
      <c r="G12" s="50">
        <f t="shared" si="0"/>
        <v>0</v>
      </c>
      <c r="H12" s="95"/>
      <c r="I12" s="95"/>
      <c r="J12" s="95"/>
      <c r="K12" s="95"/>
    </row>
    <row r="13" spans="1:15" s="4" customFormat="1" ht="31.5" hidden="1" x14ac:dyDescent="0.25">
      <c r="A13" s="10">
        <v>4</v>
      </c>
      <c r="B13" s="53" t="s">
        <v>12</v>
      </c>
      <c r="C13" s="54" t="s">
        <v>133</v>
      </c>
      <c r="D13" s="55" t="s">
        <v>53</v>
      </c>
      <c r="E13" s="56"/>
      <c r="F13" s="57">
        <v>20392</v>
      </c>
      <c r="G13" s="58">
        <f>E13*F13</f>
        <v>0</v>
      </c>
      <c r="H13" s="95"/>
      <c r="I13" s="95"/>
      <c r="J13" s="95"/>
      <c r="K13" s="95"/>
    </row>
    <row r="14" spans="1:15" s="4" customFormat="1" ht="31.5" hidden="1" x14ac:dyDescent="0.25">
      <c r="A14" s="9">
        <v>5</v>
      </c>
      <c r="B14" s="59" t="s">
        <v>13</v>
      </c>
      <c r="C14" s="54" t="s">
        <v>134</v>
      </c>
      <c r="D14" s="55" t="s">
        <v>53</v>
      </c>
      <c r="E14" s="60"/>
      <c r="F14" s="61">
        <v>39263</v>
      </c>
      <c r="G14" s="58">
        <f t="shared" ref="G14:G15" si="1">E14*F14</f>
        <v>0</v>
      </c>
      <c r="H14" s="95"/>
      <c r="I14" s="95"/>
      <c r="J14" s="95"/>
      <c r="K14" s="95"/>
    </row>
    <row r="15" spans="1:15" s="4" customFormat="1" ht="31.5" hidden="1" x14ac:dyDescent="0.25">
      <c r="A15" s="9">
        <v>6</v>
      </c>
      <c r="B15" s="59" t="s">
        <v>14</v>
      </c>
      <c r="C15" s="54" t="s">
        <v>135</v>
      </c>
      <c r="D15" s="55" t="s">
        <v>53</v>
      </c>
      <c r="E15" s="60"/>
      <c r="F15" s="61">
        <v>47572</v>
      </c>
      <c r="G15" s="58">
        <f t="shared" si="1"/>
        <v>0</v>
      </c>
      <c r="H15" s="95"/>
      <c r="I15" s="95"/>
      <c r="J15" s="95"/>
      <c r="K15" s="95"/>
    </row>
    <row r="16" spans="1:15" s="4" customFormat="1" hidden="1" x14ac:dyDescent="0.25">
      <c r="A16" s="10">
        <v>7</v>
      </c>
      <c r="B16" s="36" t="s">
        <v>15</v>
      </c>
      <c r="C16" s="43" t="s">
        <v>54</v>
      </c>
      <c r="D16" s="39" t="s">
        <v>55</v>
      </c>
      <c r="E16" s="14"/>
      <c r="F16" s="27">
        <v>321532</v>
      </c>
      <c r="G16" s="29">
        <f t="shared" si="0"/>
        <v>0</v>
      </c>
      <c r="H16" s="95"/>
      <c r="I16" s="95"/>
      <c r="J16" s="95"/>
      <c r="K16" s="95"/>
    </row>
    <row r="17" spans="1:11" s="4" customFormat="1" x14ac:dyDescent="0.25">
      <c r="A17" s="9">
        <v>8</v>
      </c>
      <c r="B17" s="36" t="s">
        <v>16</v>
      </c>
      <c r="C17" s="43" t="s">
        <v>56</v>
      </c>
      <c r="D17" s="39" t="s">
        <v>55</v>
      </c>
      <c r="E17" s="14">
        <v>3.1E-2</v>
      </c>
      <c r="F17" s="27">
        <v>379316</v>
      </c>
      <c r="G17" s="29">
        <f t="shared" si="0"/>
        <v>11758.796</v>
      </c>
      <c r="H17" s="95"/>
      <c r="I17" s="95"/>
      <c r="J17" s="95"/>
      <c r="K17" s="95"/>
    </row>
    <row r="18" spans="1:11" s="4" customFormat="1" hidden="1" x14ac:dyDescent="0.25">
      <c r="A18" s="9">
        <v>9</v>
      </c>
      <c r="B18" s="36" t="s">
        <v>17</v>
      </c>
      <c r="C18" s="43" t="s">
        <v>57</v>
      </c>
      <c r="D18" s="39" t="s">
        <v>55</v>
      </c>
      <c r="E18" s="14"/>
      <c r="F18" s="27">
        <v>440768</v>
      </c>
      <c r="G18" s="29">
        <f t="shared" si="0"/>
        <v>0</v>
      </c>
      <c r="H18" s="95"/>
      <c r="I18" s="95"/>
      <c r="J18" s="95"/>
      <c r="K18" s="95"/>
    </row>
    <row r="19" spans="1:11" s="4" customFormat="1" hidden="1" x14ac:dyDescent="0.25">
      <c r="A19" s="10">
        <v>10</v>
      </c>
      <c r="B19" s="36" t="s">
        <v>18</v>
      </c>
      <c r="C19" s="43" t="s">
        <v>58</v>
      </c>
      <c r="D19" s="39" t="s">
        <v>55</v>
      </c>
      <c r="E19" s="14"/>
      <c r="F19" s="27">
        <v>520660</v>
      </c>
      <c r="G19" s="29">
        <f t="shared" si="0"/>
        <v>0</v>
      </c>
      <c r="H19" s="95"/>
      <c r="I19" s="95"/>
      <c r="J19" s="95"/>
      <c r="K19" s="95"/>
    </row>
    <row r="20" spans="1:11" s="64" customFormat="1" ht="31.5" hidden="1" x14ac:dyDescent="0.25">
      <c r="A20" s="9">
        <v>11</v>
      </c>
      <c r="B20" s="59" t="s">
        <v>19</v>
      </c>
      <c r="C20" s="62" t="s">
        <v>136</v>
      </c>
      <c r="D20" s="63" t="s">
        <v>144</v>
      </c>
      <c r="E20" s="60"/>
      <c r="F20" s="61">
        <v>21984</v>
      </c>
      <c r="G20" s="58">
        <f t="shared" si="0"/>
        <v>0</v>
      </c>
      <c r="H20" s="96"/>
      <c r="I20" s="96"/>
      <c r="J20" s="96"/>
      <c r="K20" s="96"/>
    </row>
    <row r="21" spans="1:11" s="64" customFormat="1" ht="31.5" hidden="1" x14ac:dyDescent="0.25">
      <c r="A21" s="9">
        <v>12</v>
      </c>
      <c r="B21" s="59" t="s">
        <v>20</v>
      </c>
      <c r="C21" s="62" t="s">
        <v>137</v>
      </c>
      <c r="D21" s="63" t="s">
        <v>144</v>
      </c>
      <c r="E21" s="60"/>
      <c r="F21" s="61">
        <v>23763</v>
      </c>
      <c r="G21" s="58">
        <f t="shared" si="0"/>
        <v>0</v>
      </c>
      <c r="H21" s="96"/>
      <c r="I21" s="96"/>
      <c r="J21" s="96"/>
      <c r="K21" s="96"/>
    </row>
    <row r="22" spans="1:11" s="64" customFormat="1" ht="31.5" hidden="1" x14ac:dyDescent="0.25">
      <c r="A22" s="10">
        <v>13</v>
      </c>
      <c r="B22" s="59" t="s">
        <v>21</v>
      </c>
      <c r="C22" s="62" t="s">
        <v>138</v>
      </c>
      <c r="D22" s="63" t="s">
        <v>144</v>
      </c>
      <c r="E22" s="60"/>
      <c r="F22" s="61">
        <v>25607</v>
      </c>
      <c r="G22" s="58">
        <f t="shared" si="0"/>
        <v>0</v>
      </c>
      <c r="H22" s="96"/>
      <c r="I22" s="96"/>
      <c r="J22" s="96"/>
      <c r="K22" s="96"/>
    </row>
    <row r="23" spans="1:11" s="64" customFormat="1" ht="31.5" hidden="1" x14ac:dyDescent="0.25">
      <c r="A23" s="9">
        <v>14</v>
      </c>
      <c r="B23" s="59" t="s">
        <v>22</v>
      </c>
      <c r="C23" s="62" t="s">
        <v>139</v>
      </c>
      <c r="D23" s="63" t="s">
        <v>144</v>
      </c>
      <c r="E23" s="60"/>
      <c r="F23" s="61">
        <v>28004</v>
      </c>
      <c r="G23" s="58">
        <f t="shared" si="0"/>
        <v>0</v>
      </c>
      <c r="H23" s="96"/>
      <c r="I23" s="96"/>
      <c r="J23" s="96"/>
      <c r="K23" s="96"/>
    </row>
    <row r="24" spans="1:11" s="64" customFormat="1" ht="31.5" hidden="1" x14ac:dyDescent="0.25">
      <c r="A24" s="9">
        <v>15</v>
      </c>
      <c r="B24" s="59" t="s">
        <v>146</v>
      </c>
      <c r="C24" s="62" t="s">
        <v>140</v>
      </c>
      <c r="D24" s="63" t="s">
        <v>145</v>
      </c>
      <c r="E24" s="60"/>
      <c r="F24" s="61">
        <v>19077</v>
      </c>
      <c r="G24" s="58">
        <f t="shared" si="0"/>
        <v>0</v>
      </c>
      <c r="H24" s="96"/>
      <c r="I24" s="96"/>
      <c r="J24" s="96"/>
      <c r="K24" s="96"/>
    </row>
    <row r="25" spans="1:11" s="64" customFormat="1" ht="31.5" hidden="1" x14ac:dyDescent="0.25">
      <c r="A25" s="10">
        <v>16</v>
      </c>
      <c r="B25" s="59" t="s">
        <v>23</v>
      </c>
      <c r="C25" s="62" t="s">
        <v>141</v>
      </c>
      <c r="D25" s="63" t="s">
        <v>145</v>
      </c>
      <c r="E25" s="60"/>
      <c r="F25" s="61">
        <v>22041</v>
      </c>
      <c r="G25" s="58">
        <f t="shared" si="0"/>
        <v>0</v>
      </c>
      <c r="H25" s="96"/>
      <c r="I25" s="96"/>
      <c r="J25" s="96"/>
      <c r="K25" s="96"/>
    </row>
    <row r="26" spans="1:11" s="64" customFormat="1" ht="31.5" hidden="1" x14ac:dyDescent="0.25">
      <c r="A26" s="9">
        <v>17</v>
      </c>
      <c r="B26" s="59" t="s">
        <v>147</v>
      </c>
      <c r="C26" s="62" t="s">
        <v>142</v>
      </c>
      <c r="D26" s="63" t="s">
        <v>145</v>
      </c>
      <c r="E26" s="60"/>
      <c r="F26" s="61">
        <v>25113</v>
      </c>
      <c r="G26" s="58">
        <f t="shared" si="0"/>
        <v>0</v>
      </c>
      <c r="H26" s="96"/>
      <c r="I26" s="96"/>
      <c r="J26" s="96"/>
      <c r="K26" s="96"/>
    </row>
    <row r="27" spans="1:11" s="64" customFormat="1" ht="31.5" hidden="1" x14ac:dyDescent="0.25">
      <c r="A27" s="9">
        <v>18</v>
      </c>
      <c r="B27" s="59" t="s">
        <v>148</v>
      </c>
      <c r="C27" s="62" t="s">
        <v>143</v>
      </c>
      <c r="D27" s="63" t="s">
        <v>145</v>
      </c>
      <c r="E27" s="60"/>
      <c r="F27" s="61">
        <v>29108</v>
      </c>
      <c r="G27" s="58">
        <f t="shared" si="0"/>
        <v>0</v>
      </c>
      <c r="H27" s="96"/>
      <c r="I27" s="96"/>
      <c r="J27" s="96"/>
      <c r="K27" s="96"/>
    </row>
    <row r="28" spans="1:11" s="4" customFormat="1" ht="16.5" thickBot="1" x14ac:dyDescent="0.3">
      <c r="A28" s="10">
        <v>19</v>
      </c>
      <c r="B28" s="37" t="s">
        <v>149</v>
      </c>
      <c r="C28" s="43" t="s">
        <v>59</v>
      </c>
      <c r="D28" s="40" t="s">
        <v>60</v>
      </c>
      <c r="E28" s="22">
        <v>1</v>
      </c>
      <c r="F28" s="31">
        <v>29869</v>
      </c>
      <c r="G28" s="50">
        <f t="shared" si="0"/>
        <v>29869</v>
      </c>
      <c r="H28" s="97"/>
      <c r="I28" s="97"/>
      <c r="J28" s="97"/>
      <c r="K28" s="95"/>
    </row>
    <row r="29" spans="1:11" s="4" customFormat="1" ht="16.5" thickBot="1" x14ac:dyDescent="0.3">
      <c r="A29" s="120" t="s">
        <v>83</v>
      </c>
      <c r="B29" s="121"/>
      <c r="C29" s="121"/>
      <c r="D29" s="121"/>
      <c r="E29" s="121"/>
      <c r="F29" s="122"/>
      <c r="G29" s="23">
        <f>SUM(G10:G28)</f>
        <v>101970.796</v>
      </c>
      <c r="H29" s="98">
        <f>46.6*G29/100</f>
        <v>47518.390936000003</v>
      </c>
      <c r="I29" s="98">
        <f>1*G29/100</f>
        <v>1019.7079600000001</v>
      </c>
      <c r="J29" s="98">
        <f>52.4*G29/100</f>
        <v>53432.697103999999</v>
      </c>
      <c r="K29" s="95">
        <f>SUM(H29:J29)</f>
        <v>101970.796</v>
      </c>
    </row>
    <row r="30" spans="1:11" s="4" customFormat="1" ht="19.5" thickBot="1" x14ac:dyDescent="0.3">
      <c r="A30" s="123" t="s">
        <v>0</v>
      </c>
      <c r="B30" s="124"/>
      <c r="C30" s="134"/>
      <c r="D30" s="124"/>
      <c r="E30" s="124"/>
      <c r="F30" s="124"/>
      <c r="G30" s="135"/>
      <c r="H30" s="95"/>
      <c r="I30" s="95"/>
      <c r="J30" s="95"/>
      <c r="K30" s="95"/>
    </row>
    <row r="31" spans="1:11" s="4" customFormat="1" x14ac:dyDescent="0.25">
      <c r="A31" s="10">
        <v>20</v>
      </c>
      <c r="B31" s="35" t="s">
        <v>175</v>
      </c>
      <c r="C31" s="41" t="s">
        <v>61</v>
      </c>
      <c r="D31" s="38" t="s">
        <v>53</v>
      </c>
      <c r="E31" s="13">
        <v>18</v>
      </c>
      <c r="F31" s="26">
        <v>19728</v>
      </c>
      <c r="G31" s="28">
        <f t="shared" si="0"/>
        <v>355104</v>
      </c>
      <c r="H31" s="95"/>
      <c r="I31" s="95"/>
      <c r="J31" s="95"/>
      <c r="K31" s="95"/>
    </row>
    <row r="32" spans="1:11" s="4" customFormat="1" x14ac:dyDescent="0.25">
      <c r="A32" s="9">
        <v>21</v>
      </c>
      <c r="B32" s="36" t="s">
        <v>176</v>
      </c>
      <c r="C32" s="43" t="s">
        <v>62</v>
      </c>
      <c r="D32" s="39" t="s">
        <v>53</v>
      </c>
      <c r="E32" s="14">
        <v>11</v>
      </c>
      <c r="F32" s="27">
        <v>39069</v>
      </c>
      <c r="G32" s="50">
        <f t="shared" si="0"/>
        <v>429759</v>
      </c>
      <c r="H32" s="95"/>
      <c r="I32" s="95"/>
      <c r="J32" s="95"/>
      <c r="K32" s="95"/>
    </row>
    <row r="33" spans="1:11" s="4" customFormat="1" x14ac:dyDescent="0.25">
      <c r="A33" s="9">
        <v>22</v>
      </c>
      <c r="B33" s="35" t="s">
        <v>177</v>
      </c>
      <c r="C33" s="43" t="s">
        <v>63</v>
      </c>
      <c r="D33" s="39" t="s">
        <v>53</v>
      </c>
      <c r="E33" s="14">
        <v>2</v>
      </c>
      <c r="F33" s="27">
        <v>57326</v>
      </c>
      <c r="G33" s="50">
        <f t="shared" si="0"/>
        <v>114652</v>
      </c>
      <c r="H33" s="95"/>
      <c r="I33" s="95"/>
      <c r="J33" s="95"/>
      <c r="K33" s="95"/>
    </row>
    <row r="34" spans="1:11" s="64" customFormat="1" ht="31.5" hidden="1" x14ac:dyDescent="0.25">
      <c r="A34" s="10">
        <v>23</v>
      </c>
      <c r="B34" s="36" t="s">
        <v>178</v>
      </c>
      <c r="C34" s="77" t="s">
        <v>150</v>
      </c>
      <c r="D34" s="55" t="s">
        <v>53</v>
      </c>
      <c r="E34" s="56"/>
      <c r="F34" s="57">
        <v>10493</v>
      </c>
      <c r="G34" s="58">
        <f t="shared" si="0"/>
        <v>0</v>
      </c>
      <c r="H34" s="96"/>
      <c r="I34" s="96"/>
      <c r="J34" s="96"/>
      <c r="K34" s="96"/>
    </row>
    <row r="35" spans="1:11" s="64" customFormat="1" ht="31.5" hidden="1" x14ac:dyDescent="0.25">
      <c r="A35" s="9">
        <v>24</v>
      </c>
      <c r="B35" s="35" t="s">
        <v>179</v>
      </c>
      <c r="C35" s="76" t="s">
        <v>151</v>
      </c>
      <c r="D35" s="63" t="s">
        <v>53</v>
      </c>
      <c r="E35" s="60"/>
      <c r="F35" s="61">
        <v>20599</v>
      </c>
      <c r="G35" s="65">
        <f t="shared" si="0"/>
        <v>0</v>
      </c>
      <c r="H35" s="96"/>
      <c r="I35" s="96"/>
      <c r="J35" s="96"/>
      <c r="K35" s="96"/>
    </row>
    <row r="36" spans="1:11" s="64" customFormat="1" ht="31.5" hidden="1" x14ac:dyDescent="0.25">
      <c r="A36" s="9">
        <v>25</v>
      </c>
      <c r="B36" s="36" t="s">
        <v>180</v>
      </c>
      <c r="C36" s="76" t="s">
        <v>152</v>
      </c>
      <c r="D36" s="63" t="s">
        <v>53</v>
      </c>
      <c r="E36" s="60"/>
      <c r="F36" s="61">
        <v>29621</v>
      </c>
      <c r="G36" s="65">
        <f t="shared" si="0"/>
        <v>0</v>
      </c>
      <c r="H36" s="96"/>
      <c r="I36" s="96"/>
      <c r="J36" s="96"/>
      <c r="K36" s="96"/>
    </row>
    <row r="37" spans="1:11" s="64" customFormat="1" ht="31.5" hidden="1" x14ac:dyDescent="0.25">
      <c r="A37" s="10">
        <v>26</v>
      </c>
      <c r="B37" s="35" t="s">
        <v>295</v>
      </c>
      <c r="C37" s="76" t="s">
        <v>296</v>
      </c>
      <c r="D37" s="63" t="s">
        <v>64</v>
      </c>
      <c r="E37" s="60"/>
      <c r="F37" s="61">
        <v>145845</v>
      </c>
      <c r="G37" s="65">
        <f t="shared" ref="G37" si="2">E37*F37</f>
        <v>0</v>
      </c>
      <c r="H37" s="96"/>
      <c r="I37" s="96"/>
      <c r="J37" s="96"/>
      <c r="K37" s="96"/>
    </row>
    <row r="38" spans="1:11" s="4" customFormat="1" hidden="1" x14ac:dyDescent="0.25">
      <c r="A38" s="9">
        <v>27</v>
      </c>
      <c r="B38" s="35" t="s">
        <v>181</v>
      </c>
      <c r="C38" s="43" t="s">
        <v>153</v>
      </c>
      <c r="D38" s="39" t="s">
        <v>64</v>
      </c>
      <c r="E38" s="14"/>
      <c r="F38" s="27">
        <v>187883</v>
      </c>
      <c r="G38" s="50">
        <f t="shared" si="0"/>
        <v>0</v>
      </c>
      <c r="H38" s="95"/>
      <c r="I38" s="95"/>
      <c r="J38" s="95"/>
      <c r="K38" s="95"/>
    </row>
    <row r="39" spans="1:11" s="4" customFormat="1" hidden="1" x14ac:dyDescent="0.25">
      <c r="A39" s="9">
        <v>28</v>
      </c>
      <c r="B39" s="36" t="s">
        <v>24</v>
      </c>
      <c r="C39" s="43" t="s">
        <v>154</v>
      </c>
      <c r="D39" s="39" t="s">
        <v>64</v>
      </c>
      <c r="E39" s="14"/>
      <c r="F39" s="27">
        <v>234726</v>
      </c>
      <c r="G39" s="50">
        <f t="shared" si="0"/>
        <v>0</v>
      </c>
      <c r="H39" s="95"/>
      <c r="I39" s="95"/>
      <c r="J39" s="95"/>
      <c r="K39" s="95"/>
    </row>
    <row r="40" spans="1:11" s="4" customFormat="1" hidden="1" x14ac:dyDescent="0.25">
      <c r="A40" s="10">
        <v>29</v>
      </c>
      <c r="B40" s="35" t="s">
        <v>25</v>
      </c>
      <c r="C40" s="43" t="s">
        <v>155</v>
      </c>
      <c r="D40" s="40" t="s">
        <v>64</v>
      </c>
      <c r="E40" s="22"/>
      <c r="F40" s="31">
        <v>271157</v>
      </c>
      <c r="G40" s="50">
        <f t="shared" si="0"/>
        <v>0</v>
      </c>
      <c r="H40" s="95"/>
      <c r="I40" s="95"/>
      <c r="J40" s="95"/>
      <c r="K40" s="95"/>
    </row>
    <row r="41" spans="1:11" s="4" customFormat="1" hidden="1" x14ac:dyDescent="0.25">
      <c r="A41" s="9">
        <v>30</v>
      </c>
      <c r="B41" s="36" t="s">
        <v>26</v>
      </c>
      <c r="C41" s="43" t="s">
        <v>156</v>
      </c>
      <c r="D41" s="39" t="s">
        <v>64</v>
      </c>
      <c r="E41" s="14"/>
      <c r="F41" s="27">
        <v>351668</v>
      </c>
      <c r="G41" s="50">
        <f t="shared" si="0"/>
        <v>0</v>
      </c>
      <c r="H41" s="95"/>
      <c r="I41" s="95"/>
      <c r="J41" s="95"/>
      <c r="K41" s="95"/>
    </row>
    <row r="42" spans="1:11" s="4" customFormat="1" x14ac:dyDescent="0.25">
      <c r="A42" s="9">
        <v>31</v>
      </c>
      <c r="B42" s="35" t="s">
        <v>27</v>
      </c>
      <c r="C42" s="43" t="s">
        <v>157</v>
      </c>
      <c r="D42" s="39" t="s">
        <v>64</v>
      </c>
      <c r="E42" s="14">
        <v>0.16</v>
      </c>
      <c r="F42" s="27">
        <v>410228</v>
      </c>
      <c r="G42" s="50">
        <f t="shared" si="0"/>
        <v>65636.479999999996</v>
      </c>
      <c r="H42" s="95"/>
      <c r="I42" s="95"/>
      <c r="J42" s="95"/>
      <c r="K42" s="95"/>
    </row>
    <row r="43" spans="1:11" s="4" customFormat="1" ht="16.5" thickBot="1" x14ac:dyDescent="0.3">
      <c r="A43" s="10">
        <v>32</v>
      </c>
      <c r="B43" s="36" t="s">
        <v>28</v>
      </c>
      <c r="C43" s="43" t="s">
        <v>316</v>
      </c>
      <c r="D43" s="40" t="s">
        <v>64</v>
      </c>
      <c r="E43" s="22">
        <v>0.7</v>
      </c>
      <c r="F43" s="31">
        <v>476027</v>
      </c>
      <c r="G43" s="50">
        <f t="shared" si="0"/>
        <v>333218.89999999997</v>
      </c>
      <c r="H43" s="95"/>
      <c r="I43" s="95"/>
      <c r="J43" s="95"/>
      <c r="K43" s="95"/>
    </row>
    <row r="44" spans="1:11" s="4" customFormat="1" ht="16.5" hidden="1" thickBot="1" x14ac:dyDescent="0.3">
      <c r="A44" s="9">
        <v>33</v>
      </c>
      <c r="B44" s="35" t="s">
        <v>29</v>
      </c>
      <c r="C44" s="43" t="s">
        <v>65</v>
      </c>
      <c r="D44" s="39" t="s">
        <v>64</v>
      </c>
      <c r="E44" s="14"/>
      <c r="F44" s="27">
        <v>536255</v>
      </c>
      <c r="G44" s="50">
        <f t="shared" si="0"/>
        <v>0</v>
      </c>
      <c r="H44" s="95"/>
      <c r="I44" s="95"/>
      <c r="J44" s="95"/>
      <c r="K44" s="95"/>
    </row>
    <row r="45" spans="1:11" s="4" customFormat="1" ht="16.5" hidden="1" thickBot="1" x14ac:dyDescent="0.3">
      <c r="A45" s="9">
        <v>34</v>
      </c>
      <c r="B45" s="36" t="s">
        <v>30</v>
      </c>
      <c r="C45" s="43" t="s">
        <v>158</v>
      </c>
      <c r="D45" s="39" t="s">
        <v>64</v>
      </c>
      <c r="E45" s="14"/>
      <c r="F45" s="27">
        <v>539197</v>
      </c>
      <c r="G45" s="50">
        <f t="shared" si="0"/>
        <v>0</v>
      </c>
      <c r="H45" s="95"/>
      <c r="I45" s="95"/>
      <c r="J45" s="95"/>
      <c r="K45" s="95"/>
    </row>
    <row r="46" spans="1:11" s="64" customFormat="1" ht="32.25" hidden="1" thickBot="1" x14ac:dyDescent="0.3">
      <c r="A46" s="10">
        <v>35</v>
      </c>
      <c r="B46" s="35" t="s">
        <v>31</v>
      </c>
      <c r="C46" s="62" t="s">
        <v>159</v>
      </c>
      <c r="D46" s="63" t="s">
        <v>144</v>
      </c>
      <c r="E46" s="60"/>
      <c r="F46" s="61">
        <v>7073</v>
      </c>
      <c r="G46" s="65">
        <f t="shared" si="0"/>
        <v>0</v>
      </c>
      <c r="H46" s="96"/>
      <c r="I46" s="96"/>
      <c r="J46" s="96"/>
      <c r="K46" s="96"/>
    </row>
    <row r="47" spans="1:11" s="64" customFormat="1" ht="32.25" hidden="1" thickBot="1" x14ac:dyDescent="0.3">
      <c r="A47" s="9">
        <v>36</v>
      </c>
      <c r="B47" s="36" t="s">
        <v>32</v>
      </c>
      <c r="C47" s="62" t="s">
        <v>160</v>
      </c>
      <c r="D47" s="63" t="s">
        <v>144</v>
      </c>
      <c r="E47" s="60"/>
      <c r="F47" s="61">
        <v>8478</v>
      </c>
      <c r="G47" s="65">
        <f t="shared" si="0"/>
        <v>0</v>
      </c>
      <c r="H47" s="96"/>
      <c r="I47" s="96"/>
      <c r="J47" s="96"/>
      <c r="K47" s="96"/>
    </row>
    <row r="48" spans="1:11" s="64" customFormat="1" ht="32.25" hidden="1" thickBot="1" x14ac:dyDescent="0.3">
      <c r="A48" s="9">
        <v>37</v>
      </c>
      <c r="B48" s="35" t="s">
        <v>33</v>
      </c>
      <c r="C48" s="62" t="s">
        <v>161</v>
      </c>
      <c r="D48" s="66" t="s">
        <v>144</v>
      </c>
      <c r="E48" s="67"/>
      <c r="F48" s="68">
        <v>9571</v>
      </c>
      <c r="G48" s="65">
        <f t="shared" si="0"/>
        <v>0</v>
      </c>
      <c r="H48" s="96"/>
      <c r="I48" s="96"/>
      <c r="J48" s="96"/>
      <c r="K48" s="96"/>
    </row>
    <row r="49" spans="1:11" s="64" customFormat="1" ht="32.25" hidden="1" thickBot="1" x14ac:dyDescent="0.3">
      <c r="A49" s="10">
        <v>38</v>
      </c>
      <c r="B49" s="36" t="s">
        <v>34</v>
      </c>
      <c r="C49" s="62" t="s">
        <v>162</v>
      </c>
      <c r="D49" s="63" t="s">
        <v>144</v>
      </c>
      <c r="E49" s="60"/>
      <c r="F49" s="61">
        <v>11986</v>
      </c>
      <c r="G49" s="65">
        <f t="shared" si="0"/>
        <v>0</v>
      </c>
      <c r="H49" s="96"/>
      <c r="I49" s="96"/>
      <c r="J49" s="96"/>
      <c r="K49" s="96"/>
    </row>
    <row r="50" spans="1:11" s="64" customFormat="1" ht="32.25" hidden="1" thickBot="1" x14ac:dyDescent="0.3">
      <c r="A50" s="9">
        <v>39</v>
      </c>
      <c r="B50" s="35" t="s">
        <v>35</v>
      </c>
      <c r="C50" s="62" t="s">
        <v>163</v>
      </c>
      <c r="D50" s="63" t="s">
        <v>144</v>
      </c>
      <c r="E50" s="60"/>
      <c r="F50" s="61">
        <v>13743</v>
      </c>
      <c r="G50" s="65">
        <f t="shared" si="0"/>
        <v>0</v>
      </c>
      <c r="H50" s="96"/>
      <c r="I50" s="96"/>
      <c r="J50" s="96"/>
      <c r="K50" s="96"/>
    </row>
    <row r="51" spans="1:11" s="64" customFormat="1" ht="32.25" hidden="1" thickBot="1" x14ac:dyDescent="0.3">
      <c r="A51" s="9">
        <v>40</v>
      </c>
      <c r="B51" s="36" t="s">
        <v>36</v>
      </c>
      <c r="C51" s="62" t="s">
        <v>164</v>
      </c>
      <c r="D51" s="66" t="s">
        <v>144</v>
      </c>
      <c r="E51" s="67"/>
      <c r="F51" s="68">
        <v>15717</v>
      </c>
      <c r="G51" s="65">
        <f t="shared" si="0"/>
        <v>0</v>
      </c>
      <c r="H51" s="96"/>
      <c r="I51" s="96"/>
      <c r="J51" s="96"/>
      <c r="K51" s="96"/>
    </row>
    <row r="52" spans="1:11" s="64" customFormat="1" ht="32.25" hidden="1" thickBot="1" x14ac:dyDescent="0.3">
      <c r="A52" s="10">
        <v>41</v>
      </c>
      <c r="B52" s="35" t="s">
        <v>37</v>
      </c>
      <c r="C52" s="62" t="s">
        <v>165</v>
      </c>
      <c r="D52" s="63" t="s">
        <v>144</v>
      </c>
      <c r="E52" s="60"/>
      <c r="F52" s="61">
        <v>17524</v>
      </c>
      <c r="G52" s="65">
        <f t="shared" si="0"/>
        <v>0</v>
      </c>
      <c r="H52" s="96"/>
      <c r="I52" s="96"/>
      <c r="J52" s="96"/>
      <c r="K52" s="96"/>
    </row>
    <row r="53" spans="1:11" s="64" customFormat="1" ht="32.25" hidden="1" thickBot="1" x14ac:dyDescent="0.3">
      <c r="A53" s="9">
        <v>42</v>
      </c>
      <c r="B53" s="36" t="s">
        <v>38</v>
      </c>
      <c r="C53" s="62" t="s">
        <v>166</v>
      </c>
      <c r="D53" s="63" t="s">
        <v>144</v>
      </c>
      <c r="E53" s="60"/>
      <c r="F53" s="61">
        <v>17612</v>
      </c>
      <c r="G53" s="65">
        <f t="shared" si="0"/>
        <v>0</v>
      </c>
      <c r="H53" s="96"/>
      <c r="I53" s="96"/>
      <c r="J53" s="96"/>
      <c r="K53" s="96"/>
    </row>
    <row r="54" spans="1:11" s="64" customFormat="1" ht="32.25" hidden="1" thickBot="1" x14ac:dyDescent="0.3">
      <c r="A54" s="9">
        <v>43</v>
      </c>
      <c r="B54" s="35" t="s">
        <v>39</v>
      </c>
      <c r="C54" s="62" t="s">
        <v>167</v>
      </c>
      <c r="D54" s="63" t="s">
        <v>144</v>
      </c>
      <c r="E54" s="60"/>
      <c r="F54" s="61">
        <v>14016</v>
      </c>
      <c r="G54" s="65">
        <f t="shared" si="0"/>
        <v>0</v>
      </c>
      <c r="H54" s="96"/>
      <c r="I54" s="96"/>
      <c r="J54" s="96"/>
      <c r="K54" s="96"/>
    </row>
    <row r="55" spans="1:11" s="64" customFormat="1" ht="32.25" hidden="1" thickBot="1" x14ac:dyDescent="0.3">
      <c r="A55" s="10">
        <v>44</v>
      </c>
      <c r="B55" s="36" t="s">
        <v>40</v>
      </c>
      <c r="C55" s="62" t="s">
        <v>168</v>
      </c>
      <c r="D55" s="63" t="s">
        <v>144</v>
      </c>
      <c r="E55" s="60"/>
      <c r="F55" s="61">
        <v>15421</v>
      </c>
      <c r="G55" s="65">
        <f t="shared" si="0"/>
        <v>0</v>
      </c>
      <c r="H55" s="96"/>
      <c r="I55" s="96"/>
      <c r="J55" s="96"/>
      <c r="K55" s="96"/>
    </row>
    <row r="56" spans="1:11" s="64" customFormat="1" ht="32.25" hidden="1" thickBot="1" x14ac:dyDescent="0.3">
      <c r="A56" s="9">
        <v>45</v>
      </c>
      <c r="B56" s="35" t="s">
        <v>41</v>
      </c>
      <c r="C56" s="62" t="s">
        <v>169</v>
      </c>
      <c r="D56" s="66" t="s">
        <v>144</v>
      </c>
      <c r="E56" s="67"/>
      <c r="F56" s="68">
        <v>16514</v>
      </c>
      <c r="G56" s="65">
        <f t="shared" si="0"/>
        <v>0</v>
      </c>
      <c r="H56" s="96"/>
      <c r="I56" s="96"/>
      <c r="J56" s="96"/>
      <c r="K56" s="96"/>
    </row>
    <row r="57" spans="1:11" s="64" customFormat="1" ht="32.25" hidden="1" thickBot="1" x14ac:dyDescent="0.3">
      <c r="A57" s="9">
        <v>46</v>
      </c>
      <c r="B57" s="36" t="s">
        <v>42</v>
      </c>
      <c r="C57" s="62" t="s">
        <v>170</v>
      </c>
      <c r="D57" s="63" t="s">
        <v>144</v>
      </c>
      <c r="E57" s="60"/>
      <c r="F57" s="61">
        <v>18929</v>
      </c>
      <c r="G57" s="65">
        <f t="shared" si="0"/>
        <v>0</v>
      </c>
      <c r="H57" s="96"/>
      <c r="I57" s="96"/>
      <c r="J57" s="96"/>
      <c r="K57" s="96"/>
    </row>
    <row r="58" spans="1:11" s="64" customFormat="1" ht="32.25" hidden="1" thickBot="1" x14ac:dyDescent="0.3">
      <c r="A58" s="10">
        <v>47</v>
      </c>
      <c r="B58" s="35" t="s">
        <v>43</v>
      </c>
      <c r="C58" s="62" t="s">
        <v>171</v>
      </c>
      <c r="D58" s="63" t="s">
        <v>144</v>
      </c>
      <c r="E58" s="60"/>
      <c r="F58" s="61">
        <v>20687</v>
      </c>
      <c r="G58" s="65">
        <f t="shared" si="0"/>
        <v>0</v>
      </c>
      <c r="H58" s="96"/>
      <c r="I58" s="96"/>
      <c r="J58" s="96"/>
      <c r="K58" s="96"/>
    </row>
    <row r="59" spans="1:11" s="64" customFormat="1" ht="32.25" hidden="1" thickBot="1" x14ac:dyDescent="0.3">
      <c r="A59" s="9">
        <v>48</v>
      </c>
      <c r="B59" s="36" t="s">
        <v>44</v>
      </c>
      <c r="C59" s="62" t="s">
        <v>172</v>
      </c>
      <c r="D59" s="66" t="s">
        <v>144</v>
      </c>
      <c r="E59" s="67"/>
      <c r="F59" s="68">
        <v>22660</v>
      </c>
      <c r="G59" s="65">
        <f t="shared" si="0"/>
        <v>0</v>
      </c>
      <c r="H59" s="96"/>
      <c r="I59" s="96"/>
      <c r="J59" s="96"/>
      <c r="K59" s="96"/>
    </row>
    <row r="60" spans="1:11" s="64" customFormat="1" ht="32.25" hidden="1" thickBot="1" x14ac:dyDescent="0.3">
      <c r="A60" s="9">
        <v>49</v>
      </c>
      <c r="B60" s="35" t="s">
        <v>45</v>
      </c>
      <c r="C60" s="62" t="s">
        <v>173</v>
      </c>
      <c r="D60" s="63" t="s">
        <v>144</v>
      </c>
      <c r="E60" s="60"/>
      <c r="F60" s="61">
        <v>24468</v>
      </c>
      <c r="G60" s="65">
        <f t="shared" si="0"/>
        <v>0</v>
      </c>
      <c r="H60" s="96"/>
      <c r="I60" s="96"/>
      <c r="J60" s="96"/>
      <c r="K60" s="96"/>
    </row>
    <row r="61" spans="1:11" s="64" customFormat="1" ht="32.25" hidden="1" thickBot="1" x14ac:dyDescent="0.3">
      <c r="A61" s="10">
        <v>50</v>
      </c>
      <c r="B61" s="36" t="s">
        <v>46</v>
      </c>
      <c r="C61" s="62" t="s">
        <v>174</v>
      </c>
      <c r="D61" s="63" t="s">
        <v>144</v>
      </c>
      <c r="E61" s="60"/>
      <c r="F61" s="61">
        <v>24555</v>
      </c>
      <c r="G61" s="65">
        <f t="shared" si="0"/>
        <v>0</v>
      </c>
      <c r="H61" s="96"/>
      <c r="I61" s="96"/>
      <c r="J61" s="96"/>
      <c r="K61" s="96"/>
    </row>
    <row r="62" spans="1:11" s="4" customFormat="1" ht="16.5" hidden="1" thickBot="1" x14ac:dyDescent="0.3">
      <c r="A62" s="9">
        <v>51</v>
      </c>
      <c r="B62" s="35" t="s">
        <v>47</v>
      </c>
      <c r="C62" s="43" t="s">
        <v>198</v>
      </c>
      <c r="D62" s="40" t="s">
        <v>200</v>
      </c>
      <c r="E62" s="22"/>
      <c r="F62" s="31">
        <v>2524</v>
      </c>
      <c r="G62" s="50">
        <f t="shared" si="0"/>
        <v>0</v>
      </c>
      <c r="H62" s="95"/>
      <c r="I62" s="95"/>
      <c r="J62" s="95"/>
      <c r="K62" s="95"/>
    </row>
    <row r="63" spans="1:11" s="4" customFormat="1" ht="32.25" hidden="1" thickBot="1" x14ac:dyDescent="0.3">
      <c r="A63" s="9">
        <v>52</v>
      </c>
      <c r="B63" s="35" t="s">
        <v>326</v>
      </c>
      <c r="C63" s="43" t="s">
        <v>328</v>
      </c>
      <c r="D63" s="40" t="s">
        <v>200</v>
      </c>
      <c r="E63" s="22"/>
      <c r="F63" s="31">
        <v>1768</v>
      </c>
      <c r="G63" s="50">
        <f t="shared" ref="G63" si="3">E63*F63</f>
        <v>0</v>
      </c>
      <c r="H63" s="95"/>
      <c r="I63" s="95"/>
      <c r="J63" s="95"/>
      <c r="K63" s="95"/>
    </row>
    <row r="64" spans="1:11" s="4" customFormat="1" ht="16.5" hidden="1" thickBot="1" x14ac:dyDescent="0.3">
      <c r="A64" s="10">
        <v>53</v>
      </c>
      <c r="B64" s="36" t="s">
        <v>48</v>
      </c>
      <c r="C64" s="43" t="s">
        <v>199</v>
      </c>
      <c r="D64" s="39" t="s">
        <v>200</v>
      </c>
      <c r="E64" s="14"/>
      <c r="F64" s="27">
        <v>4529</v>
      </c>
      <c r="G64" s="50">
        <f t="shared" si="0"/>
        <v>0</v>
      </c>
      <c r="H64" s="95"/>
      <c r="I64" s="95"/>
      <c r="J64" s="95"/>
      <c r="K64" s="95"/>
    </row>
    <row r="65" spans="1:11" s="4" customFormat="1" ht="32.25" hidden="1" thickBot="1" x14ac:dyDescent="0.3">
      <c r="A65" s="9">
        <v>54</v>
      </c>
      <c r="B65" s="36" t="s">
        <v>327</v>
      </c>
      <c r="C65" s="43" t="s">
        <v>329</v>
      </c>
      <c r="D65" s="39" t="s">
        <v>200</v>
      </c>
      <c r="E65" s="14"/>
      <c r="F65" s="27">
        <v>3046</v>
      </c>
      <c r="G65" s="50">
        <f t="shared" ref="G65" si="4">E65*F65</f>
        <v>0</v>
      </c>
      <c r="H65" s="95"/>
      <c r="I65" s="95"/>
      <c r="J65" s="95"/>
      <c r="K65" s="95"/>
    </row>
    <row r="66" spans="1:11" s="4" customFormat="1" ht="16.5" hidden="1" thickBot="1" x14ac:dyDescent="0.3">
      <c r="A66" s="9">
        <v>55</v>
      </c>
      <c r="B66" s="37" t="s">
        <v>49</v>
      </c>
      <c r="C66" s="44" t="s">
        <v>107</v>
      </c>
      <c r="D66" s="40" t="s">
        <v>64</v>
      </c>
      <c r="E66" s="22"/>
      <c r="F66" s="31">
        <v>187819</v>
      </c>
      <c r="G66" s="51">
        <f>E66*F66</f>
        <v>0</v>
      </c>
      <c r="H66" s="95"/>
      <c r="I66" s="95"/>
      <c r="J66" s="95"/>
      <c r="K66" s="95"/>
    </row>
    <row r="67" spans="1:11" s="4" customFormat="1" ht="16.5" thickBot="1" x14ac:dyDescent="0.3">
      <c r="A67" s="120" t="s">
        <v>84</v>
      </c>
      <c r="B67" s="121"/>
      <c r="C67" s="136"/>
      <c r="D67" s="121"/>
      <c r="E67" s="121"/>
      <c r="F67" s="122"/>
      <c r="G67" s="49">
        <f>SUM(G31:G66)</f>
        <v>1298370.3799999999</v>
      </c>
      <c r="H67" s="99">
        <f>45.3*G67/100</f>
        <v>588161.78213999991</v>
      </c>
      <c r="I67" s="99">
        <v>0</v>
      </c>
      <c r="J67" s="99">
        <f>54.7*G67/100</f>
        <v>710208.59785999998</v>
      </c>
      <c r="K67" s="95">
        <f>SUM(H67:J67)</f>
        <v>1298370.3799999999</v>
      </c>
    </row>
    <row r="68" spans="1:11" s="4" customFormat="1" ht="19.5" thickBot="1" x14ac:dyDescent="0.3">
      <c r="A68" s="123" t="s">
        <v>124</v>
      </c>
      <c r="B68" s="124"/>
      <c r="C68" s="124"/>
      <c r="D68" s="124"/>
      <c r="E68" s="124"/>
      <c r="F68" s="124"/>
      <c r="G68" s="125"/>
      <c r="H68" s="95"/>
      <c r="I68" s="95"/>
      <c r="J68" s="95"/>
      <c r="K68" s="95"/>
    </row>
    <row r="69" spans="1:11" s="4" customFormat="1" ht="16.5" hidden="1" thickBot="1" x14ac:dyDescent="0.3">
      <c r="A69" s="10">
        <v>56</v>
      </c>
      <c r="B69" s="35" t="s">
        <v>106</v>
      </c>
      <c r="C69" s="41" t="s">
        <v>122</v>
      </c>
      <c r="D69" s="38" t="s">
        <v>64</v>
      </c>
      <c r="E69" s="74"/>
      <c r="F69" s="26">
        <v>2665728</v>
      </c>
      <c r="G69" s="28">
        <f>E69*F69</f>
        <v>0</v>
      </c>
      <c r="H69" s="95">
        <f>34.2*G69/100</f>
        <v>0</v>
      </c>
      <c r="I69" s="95">
        <v>0</v>
      </c>
      <c r="J69" s="95">
        <f>65.8*G69/100</f>
        <v>0</v>
      </c>
      <c r="K69" s="95"/>
    </row>
    <row r="70" spans="1:11" s="4" customFormat="1" ht="16.5" hidden="1" thickBot="1" x14ac:dyDescent="0.3">
      <c r="A70" s="9">
        <v>57</v>
      </c>
      <c r="B70" s="36" t="s">
        <v>109</v>
      </c>
      <c r="C70" s="43" t="s">
        <v>123</v>
      </c>
      <c r="D70" s="39" t="s">
        <v>64</v>
      </c>
      <c r="E70" s="14"/>
      <c r="F70" s="27">
        <v>3154914</v>
      </c>
      <c r="G70" s="50">
        <f>E70*F70</f>
        <v>0</v>
      </c>
      <c r="H70" s="95">
        <f>41.1*G70/100</f>
        <v>0</v>
      </c>
      <c r="I70" s="95">
        <v>0</v>
      </c>
      <c r="J70" s="95">
        <f>58.9*G70/100</f>
        <v>0</v>
      </c>
      <c r="K70" s="95"/>
    </row>
    <row r="71" spans="1:11" s="4" customFormat="1" ht="16.5" hidden="1" thickBot="1" x14ac:dyDescent="0.3">
      <c r="A71" s="10">
        <v>58</v>
      </c>
      <c r="B71" s="36" t="s">
        <v>337</v>
      </c>
      <c r="C71" s="42" t="s">
        <v>338</v>
      </c>
      <c r="D71" s="39" t="s">
        <v>64</v>
      </c>
      <c r="E71" s="13"/>
      <c r="F71" s="26">
        <v>4314455</v>
      </c>
      <c r="G71" s="50">
        <f t="shared" ref="G71:G72" si="5">E71*F71</f>
        <v>0</v>
      </c>
      <c r="H71" s="95">
        <f>70.14*G71/100</f>
        <v>0</v>
      </c>
      <c r="I71" s="95">
        <v>0</v>
      </c>
      <c r="J71" s="95">
        <f>G71-H71</f>
        <v>0</v>
      </c>
      <c r="K71" s="95"/>
    </row>
    <row r="72" spans="1:11" s="4" customFormat="1" ht="16.5" hidden="1" thickBot="1" x14ac:dyDescent="0.3">
      <c r="A72" s="9">
        <v>59</v>
      </c>
      <c r="B72" s="80" t="s">
        <v>110</v>
      </c>
      <c r="C72" s="81" t="s">
        <v>182</v>
      </c>
      <c r="D72" s="82" t="s">
        <v>184</v>
      </c>
      <c r="E72" s="83"/>
      <c r="F72" s="78">
        <v>1642060</v>
      </c>
      <c r="G72" s="50">
        <f t="shared" si="5"/>
        <v>0</v>
      </c>
      <c r="H72" s="95">
        <v>0</v>
      </c>
      <c r="I72" s="95">
        <v>0</v>
      </c>
      <c r="J72" s="95">
        <f>G72</f>
        <v>0</v>
      </c>
      <c r="K72" s="95"/>
    </row>
    <row r="73" spans="1:11" s="4" customFormat="1" ht="16.5" hidden="1" thickBot="1" x14ac:dyDescent="0.3">
      <c r="A73" s="10">
        <v>60</v>
      </c>
      <c r="B73" s="85" t="s">
        <v>111</v>
      </c>
      <c r="C73" s="86" t="s">
        <v>183</v>
      </c>
      <c r="D73" s="87" t="s">
        <v>184</v>
      </c>
      <c r="E73" s="88"/>
      <c r="F73" s="89">
        <v>1669606</v>
      </c>
      <c r="G73" s="84">
        <f>E73*F73</f>
        <v>0</v>
      </c>
      <c r="H73" s="95">
        <v>0</v>
      </c>
      <c r="I73" s="95">
        <v>0</v>
      </c>
      <c r="J73" s="95">
        <f>G73</f>
        <v>0</v>
      </c>
      <c r="K73" s="95"/>
    </row>
    <row r="74" spans="1:11" s="4" customFormat="1" ht="16.5" hidden="1" thickBot="1" x14ac:dyDescent="0.3">
      <c r="A74" s="137" t="s">
        <v>132</v>
      </c>
      <c r="B74" s="138"/>
      <c r="C74" s="138"/>
      <c r="D74" s="138"/>
      <c r="E74" s="138"/>
      <c r="F74" s="139"/>
      <c r="G74" s="90">
        <f>SUM(G69:G73)</f>
        <v>0</v>
      </c>
      <c r="H74" s="99">
        <f>SUM(H69:H73)</f>
        <v>0</v>
      </c>
      <c r="I74" s="99">
        <f t="shared" ref="I74:J74" si="6">SUM(I69:I73)</f>
        <v>0</v>
      </c>
      <c r="J74" s="99">
        <f t="shared" si="6"/>
        <v>0</v>
      </c>
      <c r="K74" s="95">
        <f>SUM(H74:J74)</f>
        <v>0</v>
      </c>
    </row>
    <row r="75" spans="1:11" s="4" customFormat="1" ht="19.5" thickBot="1" x14ac:dyDescent="0.3">
      <c r="A75" s="140" t="s">
        <v>66</v>
      </c>
      <c r="B75" s="141"/>
      <c r="C75" s="141"/>
      <c r="D75" s="141"/>
      <c r="E75" s="141"/>
      <c r="F75" s="141"/>
      <c r="G75" s="142"/>
      <c r="H75" s="95"/>
      <c r="I75" s="95"/>
      <c r="J75" s="95"/>
      <c r="K75" s="95"/>
    </row>
    <row r="76" spans="1:11" s="4" customFormat="1" x14ac:dyDescent="0.25">
      <c r="A76" s="79">
        <v>61</v>
      </c>
      <c r="B76" s="80" t="s">
        <v>115</v>
      </c>
      <c r="C76" s="91" t="s">
        <v>185</v>
      </c>
      <c r="D76" s="82" t="s">
        <v>60</v>
      </c>
      <c r="E76" s="83">
        <v>1</v>
      </c>
      <c r="F76" s="78">
        <v>438595</v>
      </c>
      <c r="G76" s="92">
        <f>E76*F76</f>
        <v>438595</v>
      </c>
      <c r="H76" s="95"/>
      <c r="I76" s="95"/>
      <c r="J76" s="95"/>
      <c r="K76" s="95"/>
    </row>
    <row r="77" spans="1:11" s="4" customFormat="1" hidden="1" x14ac:dyDescent="0.25">
      <c r="A77" s="79">
        <v>62</v>
      </c>
      <c r="B77" s="80" t="s">
        <v>116</v>
      </c>
      <c r="C77" s="81" t="s">
        <v>186</v>
      </c>
      <c r="D77" s="82" t="s">
        <v>60</v>
      </c>
      <c r="E77" s="83"/>
      <c r="F77" s="78">
        <v>438595</v>
      </c>
      <c r="G77" s="84">
        <f t="shared" ref="G77:G94" si="7">E77*F77</f>
        <v>0</v>
      </c>
      <c r="H77" s="95"/>
      <c r="I77" s="95"/>
      <c r="J77" s="95"/>
      <c r="K77" s="95"/>
    </row>
    <row r="78" spans="1:11" s="4" customFormat="1" hidden="1" x14ac:dyDescent="0.25">
      <c r="A78" s="79">
        <v>63</v>
      </c>
      <c r="B78" s="80" t="s">
        <v>117</v>
      </c>
      <c r="C78" s="81" t="s">
        <v>187</v>
      </c>
      <c r="D78" s="82" t="s">
        <v>60</v>
      </c>
      <c r="E78" s="83"/>
      <c r="F78" s="78">
        <v>438595</v>
      </c>
      <c r="G78" s="84">
        <f t="shared" si="7"/>
        <v>0</v>
      </c>
      <c r="H78" s="95"/>
      <c r="I78" s="95"/>
      <c r="J78" s="95"/>
      <c r="K78" s="95"/>
    </row>
    <row r="79" spans="1:11" s="4" customFormat="1" hidden="1" x14ac:dyDescent="0.25">
      <c r="A79" s="79">
        <v>64</v>
      </c>
      <c r="B79" s="80" t="s">
        <v>206</v>
      </c>
      <c r="C79" s="81" t="s">
        <v>188</v>
      </c>
      <c r="D79" s="82" t="s">
        <v>60</v>
      </c>
      <c r="E79" s="83"/>
      <c r="F79" s="78">
        <v>469070</v>
      </c>
      <c r="G79" s="84">
        <f t="shared" si="7"/>
        <v>0</v>
      </c>
      <c r="H79" s="95"/>
      <c r="I79" s="95"/>
      <c r="J79" s="95"/>
      <c r="K79" s="95"/>
    </row>
    <row r="80" spans="1:11" s="4" customFormat="1" hidden="1" x14ac:dyDescent="0.25">
      <c r="A80" s="79">
        <v>65</v>
      </c>
      <c r="B80" s="80" t="s">
        <v>207</v>
      </c>
      <c r="C80" s="81" t="s">
        <v>189</v>
      </c>
      <c r="D80" s="82" t="s">
        <v>60</v>
      </c>
      <c r="E80" s="83"/>
      <c r="F80" s="78">
        <v>538958</v>
      </c>
      <c r="G80" s="84">
        <f t="shared" si="7"/>
        <v>0</v>
      </c>
      <c r="H80" s="95"/>
      <c r="I80" s="95"/>
      <c r="J80" s="95"/>
      <c r="K80" s="95"/>
    </row>
    <row r="81" spans="1:11" s="4" customFormat="1" x14ac:dyDescent="0.25">
      <c r="A81" s="109" t="s">
        <v>317</v>
      </c>
      <c r="B81" s="110"/>
      <c r="C81" s="110"/>
      <c r="D81" s="110"/>
      <c r="E81" s="110"/>
      <c r="F81" s="111"/>
      <c r="G81" s="84">
        <f>SUM(G76:G80)</f>
        <v>438595</v>
      </c>
      <c r="H81" s="95">
        <f>4.2*G81/100</f>
        <v>18420.990000000002</v>
      </c>
      <c r="I81" s="95">
        <f>56.8*G81/100</f>
        <v>249121.96</v>
      </c>
      <c r="J81" s="95">
        <f>39*G81/100</f>
        <v>171052.05</v>
      </c>
      <c r="K81" s="95"/>
    </row>
    <row r="82" spans="1:11" s="4" customFormat="1" hidden="1" x14ac:dyDescent="0.25">
      <c r="A82" s="79">
        <v>66</v>
      </c>
      <c r="B82" s="80" t="s">
        <v>208</v>
      </c>
      <c r="C82" s="81" t="s">
        <v>190</v>
      </c>
      <c r="D82" s="82" t="s">
        <v>60</v>
      </c>
      <c r="E82" s="83"/>
      <c r="F82" s="78">
        <v>521633</v>
      </c>
      <c r="G82" s="84">
        <f t="shared" si="7"/>
        <v>0</v>
      </c>
      <c r="H82" s="95"/>
      <c r="I82" s="95"/>
      <c r="J82" s="95"/>
      <c r="K82" s="95"/>
    </row>
    <row r="83" spans="1:11" s="4" customFormat="1" hidden="1" x14ac:dyDescent="0.25">
      <c r="A83" s="79">
        <v>67</v>
      </c>
      <c r="B83" s="80" t="s">
        <v>209</v>
      </c>
      <c r="C83" s="81" t="s">
        <v>191</v>
      </c>
      <c r="D83" s="82" t="s">
        <v>60</v>
      </c>
      <c r="E83" s="83"/>
      <c r="F83" s="78">
        <v>532566</v>
      </c>
      <c r="G83" s="84">
        <f t="shared" si="7"/>
        <v>0</v>
      </c>
      <c r="H83" s="95"/>
      <c r="I83" s="95"/>
      <c r="J83" s="95"/>
      <c r="K83" s="95"/>
    </row>
    <row r="84" spans="1:11" s="4" customFormat="1" hidden="1" x14ac:dyDescent="0.25">
      <c r="A84" s="79">
        <v>68</v>
      </c>
      <c r="B84" s="80" t="s">
        <v>210</v>
      </c>
      <c r="C84" s="81" t="s">
        <v>127</v>
      </c>
      <c r="D84" s="82" t="s">
        <v>60</v>
      </c>
      <c r="E84" s="83"/>
      <c r="F84" s="78">
        <v>817210</v>
      </c>
      <c r="G84" s="84">
        <f t="shared" si="7"/>
        <v>0</v>
      </c>
      <c r="H84" s="95"/>
      <c r="I84" s="95"/>
      <c r="J84" s="95"/>
      <c r="K84" s="95"/>
    </row>
    <row r="85" spans="1:11" s="4" customFormat="1" hidden="1" x14ac:dyDescent="0.25">
      <c r="A85" s="79">
        <v>69</v>
      </c>
      <c r="B85" s="80" t="s">
        <v>211</v>
      </c>
      <c r="C85" s="81" t="s">
        <v>126</v>
      </c>
      <c r="D85" s="82" t="s">
        <v>60</v>
      </c>
      <c r="E85" s="83"/>
      <c r="F85" s="78">
        <v>924262</v>
      </c>
      <c r="G85" s="84">
        <f t="shared" si="7"/>
        <v>0</v>
      </c>
      <c r="H85" s="95"/>
      <c r="I85" s="95"/>
      <c r="J85" s="95"/>
      <c r="K85" s="95"/>
    </row>
    <row r="86" spans="1:11" s="4" customFormat="1" hidden="1" x14ac:dyDescent="0.25">
      <c r="A86" s="79">
        <v>70</v>
      </c>
      <c r="B86" s="80" t="s">
        <v>212</v>
      </c>
      <c r="C86" s="81" t="s">
        <v>67</v>
      </c>
      <c r="D86" s="82" t="s">
        <v>60</v>
      </c>
      <c r="E86" s="83"/>
      <c r="F86" s="78">
        <v>1096411</v>
      </c>
      <c r="G86" s="84">
        <f t="shared" si="7"/>
        <v>0</v>
      </c>
      <c r="H86" s="95"/>
      <c r="I86" s="95"/>
      <c r="J86" s="95"/>
      <c r="K86" s="95"/>
    </row>
    <row r="87" spans="1:11" s="4" customFormat="1" hidden="1" x14ac:dyDescent="0.25">
      <c r="A87" s="79">
        <v>71</v>
      </c>
      <c r="B87" s="80" t="s">
        <v>213</v>
      </c>
      <c r="C87" s="81" t="s">
        <v>68</v>
      </c>
      <c r="D87" s="82" t="s">
        <v>60</v>
      </c>
      <c r="E87" s="83"/>
      <c r="F87" s="78">
        <v>1133388</v>
      </c>
      <c r="G87" s="84">
        <f t="shared" si="7"/>
        <v>0</v>
      </c>
      <c r="H87" s="95"/>
      <c r="I87" s="95"/>
      <c r="J87" s="95"/>
      <c r="K87" s="95"/>
    </row>
    <row r="88" spans="1:11" s="4" customFormat="1" hidden="1" x14ac:dyDescent="0.25">
      <c r="A88" s="79">
        <v>72</v>
      </c>
      <c r="B88" s="80" t="s">
        <v>214</v>
      </c>
      <c r="C88" s="81" t="s">
        <v>69</v>
      </c>
      <c r="D88" s="87" t="s">
        <v>60</v>
      </c>
      <c r="E88" s="88"/>
      <c r="F88" s="89">
        <v>1385322</v>
      </c>
      <c r="G88" s="84">
        <f t="shared" si="7"/>
        <v>0</v>
      </c>
      <c r="H88" s="95"/>
      <c r="I88" s="95"/>
      <c r="J88" s="95"/>
      <c r="K88" s="95"/>
    </row>
    <row r="89" spans="1:11" s="4" customFormat="1" hidden="1" x14ac:dyDescent="0.25">
      <c r="A89" s="79">
        <v>73</v>
      </c>
      <c r="B89" s="80" t="s">
        <v>215</v>
      </c>
      <c r="C89" s="81" t="s">
        <v>128</v>
      </c>
      <c r="D89" s="87" t="s">
        <v>60</v>
      </c>
      <c r="E89" s="88"/>
      <c r="F89" s="89">
        <v>2177690</v>
      </c>
      <c r="G89" s="84">
        <f t="shared" si="7"/>
        <v>0</v>
      </c>
      <c r="H89" s="95"/>
      <c r="I89" s="95"/>
      <c r="J89" s="95"/>
      <c r="K89" s="95"/>
    </row>
    <row r="90" spans="1:11" s="4" customFormat="1" hidden="1" x14ac:dyDescent="0.25">
      <c r="A90" s="79">
        <v>74</v>
      </c>
      <c r="B90" s="80" t="s">
        <v>216</v>
      </c>
      <c r="C90" s="81" t="s">
        <v>192</v>
      </c>
      <c r="D90" s="87" t="s">
        <v>60</v>
      </c>
      <c r="E90" s="88"/>
      <c r="F90" s="89">
        <v>2623356</v>
      </c>
      <c r="G90" s="84">
        <f t="shared" si="7"/>
        <v>0</v>
      </c>
      <c r="H90" s="95"/>
      <c r="I90" s="95"/>
      <c r="J90" s="95"/>
      <c r="K90" s="95"/>
    </row>
    <row r="91" spans="1:11" s="4" customFormat="1" hidden="1" x14ac:dyDescent="0.25">
      <c r="A91" s="79">
        <v>75</v>
      </c>
      <c r="B91" s="35" t="s">
        <v>217</v>
      </c>
      <c r="C91" s="42" t="s">
        <v>129</v>
      </c>
      <c r="D91" s="39" t="s">
        <v>60</v>
      </c>
      <c r="E91" s="14"/>
      <c r="F91" s="27">
        <v>2723143</v>
      </c>
      <c r="G91" s="29">
        <f t="shared" si="7"/>
        <v>0</v>
      </c>
      <c r="H91" s="95"/>
      <c r="I91" s="95"/>
      <c r="J91" s="95"/>
      <c r="K91" s="95"/>
    </row>
    <row r="92" spans="1:11" s="4" customFormat="1" hidden="1" x14ac:dyDescent="0.25">
      <c r="A92" s="79">
        <v>76</v>
      </c>
      <c r="B92" s="35" t="s">
        <v>218</v>
      </c>
      <c r="C92" s="42" t="s">
        <v>130</v>
      </c>
      <c r="D92" s="39" t="s">
        <v>60</v>
      </c>
      <c r="E92" s="14"/>
      <c r="F92" s="27">
        <v>3084991</v>
      </c>
      <c r="G92" s="29">
        <f t="shared" si="7"/>
        <v>0</v>
      </c>
      <c r="H92" s="95"/>
      <c r="I92" s="95"/>
      <c r="J92" s="95"/>
      <c r="K92" s="95"/>
    </row>
    <row r="93" spans="1:11" s="4" customFormat="1" hidden="1" x14ac:dyDescent="0.25">
      <c r="A93" s="79">
        <v>77</v>
      </c>
      <c r="B93" s="35" t="s">
        <v>219</v>
      </c>
      <c r="C93" s="42" t="s">
        <v>131</v>
      </c>
      <c r="D93" s="39" t="s">
        <v>60</v>
      </c>
      <c r="E93" s="14"/>
      <c r="F93" s="27">
        <v>3266159</v>
      </c>
      <c r="G93" s="29">
        <f t="shared" si="7"/>
        <v>0</v>
      </c>
      <c r="H93" s="95"/>
      <c r="I93" s="95"/>
      <c r="J93" s="95"/>
      <c r="K93" s="95"/>
    </row>
    <row r="94" spans="1:11" s="4" customFormat="1" hidden="1" x14ac:dyDescent="0.25">
      <c r="A94" s="79">
        <v>78</v>
      </c>
      <c r="B94" s="35" t="s">
        <v>220</v>
      </c>
      <c r="C94" s="42" t="s">
        <v>193</v>
      </c>
      <c r="D94" s="39" t="s">
        <v>60</v>
      </c>
      <c r="E94" s="14"/>
      <c r="F94" s="27">
        <v>5210857</v>
      </c>
      <c r="G94" s="29">
        <f t="shared" si="7"/>
        <v>0</v>
      </c>
      <c r="H94" s="95"/>
      <c r="I94" s="95"/>
      <c r="J94" s="95"/>
      <c r="K94" s="95"/>
    </row>
    <row r="95" spans="1:11" s="4" customFormat="1" hidden="1" x14ac:dyDescent="0.25">
      <c r="A95" s="106" t="s">
        <v>318</v>
      </c>
      <c r="B95" s="112"/>
      <c r="C95" s="112"/>
      <c r="D95" s="112"/>
      <c r="E95" s="112"/>
      <c r="F95" s="113"/>
      <c r="G95" s="29">
        <f>SUM(G82:G94)</f>
        <v>0</v>
      </c>
      <c r="H95" s="95">
        <f>3.6*G95/100</f>
        <v>0</v>
      </c>
      <c r="I95" s="95">
        <f>74.5*G95/100</f>
        <v>0</v>
      </c>
      <c r="J95" s="95">
        <f>21.9*G95/100</f>
        <v>0</v>
      </c>
      <c r="K95" s="95"/>
    </row>
    <row r="96" spans="1:11" s="4" customFormat="1" hidden="1" x14ac:dyDescent="0.25">
      <c r="A96" s="10">
        <v>79</v>
      </c>
      <c r="B96" s="36" t="s">
        <v>221</v>
      </c>
      <c r="C96" s="42" t="s">
        <v>70</v>
      </c>
      <c r="D96" s="39" t="s">
        <v>60</v>
      </c>
      <c r="E96" s="14"/>
      <c r="F96" s="27">
        <v>125496</v>
      </c>
      <c r="G96" s="29">
        <f t="shared" si="0"/>
        <v>0</v>
      </c>
      <c r="H96" s="95"/>
      <c r="I96" s="95"/>
      <c r="J96" s="95"/>
      <c r="K96" s="95"/>
    </row>
    <row r="97" spans="1:11" s="4" customFormat="1" hidden="1" x14ac:dyDescent="0.25">
      <c r="A97" s="10">
        <v>80</v>
      </c>
      <c r="B97" s="36" t="s">
        <v>222</v>
      </c>
      <c r="C97" s="42" t="s">
        <v>71</v>
      </c>
      <c r="D97" s="39" t="s">
        <v>60</v>
      </c>
      <c r="E97" s="14"/>
      <c r="F97" s="27">
        <v>199483</v>
      </c>
      <c r="G97" s="29">
        <f t="shared" si="0"/>
        <v>0</v>
      </c>
      <c r="H97" s="95"/>
      <c r="I97" s="95"/>
      <c r="J97" s="95"/>
      <c r="K97" s="95"/>
    </row>
    <row r="98" spans="1:11" s="4" customFormat="1" hidden="1" x14ac:dyDescent="0.25">
      <c r="A98" s="10">
        <v>81</v>
      </c>
      <c r="B98" s="36" t="s">
        <v>223</v>
      </c>
      <c r="C98" s="42" t="s">
        <v>72</v>
      </c>
      <c r="D98" s="39" t="s">
        <v>60</v>
      </c>
      <c r="E98" s="14"/>
      <c r="F98" s="27">
        <v>215048</v>
      </c>
      <c r="G98" s="29">
        <f t="shared" si="0"/>
        <v>0</v>
      </c>
      <c r="H98" s="95"/>
      <c r="I98" s="95"/>
      <c r="J98" s="95"/>
      <c r="K98" s="95"/>
    </row>
    <row r="99" spans="1:11" s="4" customFormat="1" hidden="1" x14ac:dyDescent="0.25">
      <c r="A99" s="10">
        <v>82</v>
      </c>
      <c r="B99" s="36" t="s">
        <v>224</v>
      </c>
      <c r="C99" s="42" t="s">
        <v>73</v>
      </c>
      <c r="D99" s="39" t="s">
        <v>60</v>
      </c>
      <c r="E99" s="14"/>
      <c r="F99" s="27">
        <v>263095</v>
      </c>
      <c r="G99" s="29">
        <f t="shared" si="0"/>
        <v>0</v>
      </c>
      <c r="H99" s="95"/>
      <c r="I99" s="95"/>
      <c r="J99" s="95"/>
      <c r="K99" s="95"/>
    </row>
    <row r="100" spans="1:11" s="4" customFormat="1" hidden="1" x14ac:dyDescent="0.25">
      <c r="A100" s="10">
        <v>83</v>
      </c>
      <c r="B100" s="36" t="s">
        <v>225</v>
      </c>
      <c r="C100" s="42" t="s">
        <v>74</v>
      </c>
      <c r="D100" s="39" t="s">
        <v>60</v>
      </c>
      <c r="E100" s="14"/>
      <c r="F100" s="27">
        <v>305367</v>
      </c>
      <c r="G100" s="29">
        <f t="shared" si="0"/>
        <v>0</v>
      </c>
      <c r="H100" s="95"/>
      <c r="I100" s="95"/>
      <c r="J100" s="95"/>
      <c r="K100" s="95"/>
    </row>
    <row r="101" spans="1:11" s="4" customFormat="1" hidden="1" x14ac:dyDescent="0.25">
      <c r="A101" s="10">
        <v>84</v>
      </c>
      <c r="B101" s="36" t="s">
        <v>226</v>
      </c>
      <c r="C101" s="42" t="s">
        <v>75</v>
      </c>
      <c r="D101" s="39" t="s">
        <v>60</v>
      </c>
      <c r="E101" s="14"/>
      <c r="F101" s="27">
        <v>378040</v>
      </c>
      <c r="G101" s="29">
        <f t="shared" si="0"/>
        <v>0</v>
      </c>
      <c r="H101" s="95"/>
      <c r="I101" s="95"/>
      <c r="J101" s="95"/>
      <c r="K101" s="95"/>
    </row>
    <row r="102" spans="1:11" s="4" customFormat="1" hidden="1" x14ac:dyDescent="0.25">
      <c r="A102" s="10">
        <v>85</v>
      </c>
      <c r="B102" s="36" t="s">
        <v>227</v>
      </c>
      <c r="C102" s="42" t="s">
        <v>76</v>
      </c>
      <c r="D102" s="39" t="s">
        <v>60</v>
      </c>
      <c r="E102" s="14"/>
      <c r="F102" s="27">
        <v>527219</v>
      </c>
      <c r="G102" s="29">
        <f t="shared" si="0"/>
        <v>0</v>
      </c>
      <c r="H102" s="95"/>
      <c r="I102" s="95"/>
      <c r="J102" s="95"/>
      <c r="K102" s="95"/>
    </row>
    <row r="103" spans="1:11" s="4" customFormat="1" hidden="1" x14ac:dyDescent="0.25">
      <c r="A103" s="10">
        <v>86</v>
      </c>
      <c r="B103" s="36" t="s">
        <v>228</v>
      </c>
      <c r="C103" s="42" t="s">
        <v>77</v>
      </c>
      <c r="D103" s="39" t="s">
        <v>60</v>
      </c>
      <c r="E103" s="14"/>
      <c r="F103" s="27">
        <v>742779</v>
      </c>
      <c r="G103" s="29">
        <f t="shared" si="0"/>
        <v>0</v>
      </c>
      <c r="H103" s="95"/>
      <c r="I103" s="95"/>
      <c r="J103" s="95"/>
      <c r="K103" s="95"/>
    </row>
    <row r="104" spans="1:11" s="4" customFormat="1" hidden="1" x14ac:dyDescent="0.25">
      <c r="A104" s="106" t="s">
        <v>319</v>
      </c>
      <c r="B104" s="107"/>
      <c r="C104" s="107"/>
      <c r="D104" s="107"/>
      <c r="E104" s="107"/>
      <c r="F104" s="108"/>
      <c r="G104" s="29">
        <f>SUM(G96:G103)</f>
        <v>0</v>
      </c>
      <c r="H104" s="95">
        <f>0.8*G104/100</f>
        <v>0</v>
      </c>
      <c r="I104" s="95">
        <f>77.3*G104/100</f>
        <v>0</v>
      </c>
      <c r="J104" s="95">
        <f>21.9*G104/100</f>
        <v>0</v>
      </c>
      <c r="K104" s="95"/>
    </row>
    <row r="105" spans="1:11" s="4" customFormat="1" x14ac:dyDescent="0.25">
      <c r="A105" s="10">
        <v>87</v>
      </c>
      <c r="B105" s="36" t="s">
        <v>229</v>
      </c>
      <c r="C105" s="43" t="s">
        <v>330</v>
      </c>
      <c r="D105" s="39" t="s">
        <v>60</v>
      </c>
      <c r="E105" s="14">
        <v>1</v>
      </c>
      <c r="F105" s="27">
        <v>5640</v>
      </c>
      <c r="G105" s="50">
        <f t="shared" si="0"/>
        <v>5640</v>
      </c>
      <c r="H105" s="95"/>
      <c r="I105" s="95"/>
      <c r="J105" s="95"/>
      <c r="K105" s="95"/>
    </row>
    <row r="106" spans="1:11" s="4" customFormat="1" hidden="1" x14ac:dyDescent="0.25">
      <c r="A106" s="10">
        <v>88</v>
      </c>
      <c r="B106" s="36" t="s">
        <v>230</v>
      </c>
      <c r="C106" s="43" t="s">
        <v>201</v>
      </c>
      <c r="D106" s="39" t="s">
        <v>60</v>
      </c>
      <c r="E106" s="14"/>
      <c r="F106" s="27">
        <v>6445</v>
      </c>
      <c r="G106" s="50">
        <f t="shared" si="0"/>
        <v>0</v>
      </c>
      <c r="H106" s="95"/>
      <c r="I106" s="95"/>
      <c r="J106" s="95"/>
      <c r="K106" s="95"/>
    </row>
    <row r="107" spans="1:11" s="4" customFormat="1" hidden="1" x14ac:dyDescent="0.25">
      <c r="A107" s="10">
        <v>89</v>
      </c>
      <c r="B107" s="36" t="s">
        <v>231</v>
      </c>
      <c r="C107" s="43" t="s">
        <v>194</v>
      </c>
      <c r="D107" s="39" t="s">
        <v>60</v>
      </c>
      <c r="E107" s="14"/>
      <c r="F107" s="27">
        <v>11144</v>
      </c>
      <c r="G107" s="50">
        <f t="shared" ref="G107" si="8">E107*F107</f>
        <v>0</v>
      </c>
      <c r="H107" s="95"/>
      <c r="I107" s="95"/>
      <c r="J107" s="95"/>
      <c r="K107" s="95"/>
    </row>
    <row r="108" spans="1:11" s="4" customFormat="1" hidden="1" x14ac:dyDescent="0.25">
      <c r="A108" s="10">
        <v>90</v>
      </c>
      <c r="B108" s="36" t="s">
        <v>333</v>
      </c>
      <c r="C108" s="43" t="s">
        <v>331</v>
      </c>
      <c r="D108" s="39" t="s">
        <v>60</v>
      </c>
      <c r="E108" s="14"/>
      <c r="F108" s="27">
        <v>17592</v>
      </c>
      <c r="G108" s="50">
        <f t="shared" ref="G108:G109" si="9">E108*F108</f>
        <v>0</v>
      </c>
      <c r="H108" s="95"/>
      <c r="I108" s="95"/>
      <c r="J108" s="95"/>
      <c r="K108" s="95"/>
    </row>
    <row r="109" spans="1:11" s="4" customFormat="1" hidden="1" x14ac:dyDescent="0.25">
      <c r="A109" s="10">
        <v>91</v>
      </c>
      <c r="B109" s="36" t="s">
        <v>334</v>
      </c>
      <c r="C109" s="43" t="s">
        <v>332</v>
      </c>
      <c r="D109" s="39" t="s">
        <v>60</v>
      </c>
      <c r="E109" s="14"/>
      <c r="F109" s="27">
        <v>55388</v>
      </c>
      <c r="G109" s="50">
        <f t="shared" si="9"/>
        <v>0</v>
      </c>
      <c r="H109" s="95"/>
      <c r="I109" s="95"/>
      <c r="J109" s="95"/>
      <c r="K109" s="95"/>
    </row>
    <row r="110" spans="1:11" s="4" customFormat="1" ht="16.5" thickBot="1" x14ac:dyDescent="0.3">
      <c r="A110" s="106" t="s">
        <v>320</v>
      </c>
      <c r="B110" s="107"/>
      <c r="C110" s="107"/>
      <c r="D110" s="107"/>
      <c r="E110" s="107"/>
      <c r="F110" s="108"/>
      <c r="G110" s="29">
        <f>SUM(G105:G109)</f>
        <v>5640</v>
      </c>
      <c r="H110" s="95">
        <f>63*G110/100</f>
        <v>3553.2</v>
      </c>
      <c r="I110" s="95">
        <v>0</v>
      </c>
      <c r="J110" s="95">
        <f>37*G110/100</f>
        <v>2086.8000000000002</v>
      </c>
      <c r="K110" s="95"/>
    </row>
    <row r="111" spans="1:11" s="4" customFormat="1" ht="16.5" hidden="1" thickBot="1" x14ac:dyDescent="0.3">
      <c r="A111" s="10">
        <v>92</v>
      </c>
      <c r="B111" s="36" t="s">
        <v>232</v>
      </c>
      <c r="C111" s="42" t="s">
        <v>195</v>
      </c>
      <c r="D111" s="39" t="s">
        <v>60</v>
      </c>
      <c r="E111" s="14"/>
      <c r="F111" s="27">
        <v>13072</v>
      </c>
      <c r="G111" s="29">
        <f t="shared" si="0"/>
        <v>0</v>
      </c>
      <c r="H111" s="95"/>
      <c r="I111" s="95"/>
      <c r="J111" s="95"/>
      <c r="K111" s="95"/>
    </row>
    <row r="112" spans="1:11" s="4" customFormat="1" ht="16.5" hidden="1" thickBot="1" x14ac:dyDescent="0.3">
      <c r="A112" s="10">
        <v>93</v>
      </c>
      <c r="B112" s="36" t="s">
        <v>233</v>
      </c>
      <c r="C112" s="42" t="s">
        <v>196</v>
      </c>
      <c r="D112" s="39" t="s">
        <v>60</v>
      </c>
      <c r="E112" s="14"/>
      <c r="F112" s="27">
        <v>14897</v>
      </c>
      <c r="G112" s="29">
        <f t="shared" si="0"/>
        <v>0</v>
      </c>
      <c r="H112" s="95"/>
      <c r="I112" s="95"/>
      <c r="J112" s="95"/>
      <c r="K112" s="95"/>
    </row>
    <row r="113" spans="1:11" s="4" customFormat="1" ht="16.5" hidden="1" thickBot="1" x14ac:dyDescent="0.3">
      <c r="A113" s="10">
        <v>94</v>
      </c>
      <c r="B113" s="36" t="s">
        <v>234</v>
      </c>
      <c r="C113" s="42" t="s">
        <v>197</v>
      </c>
      <c r="D113" s="39" t="s">
        <v>60</v>
      </c>
      <c r="E113" s="14"/>
      <c r="F113" s="27">
        <v>15471</v>
      </c>
      <c r="G113" s="29">
        <f t="shared" si="0"/>
        <v>0</v>
      </c>
      <c r="H113" s="95"/>
      <c r="I113" s="95"/>
      <c r="J113" s="95"/>
      <c r="K113" s="95"/>
    </row>
    <row r="114" spans="1:11" s="4" customFormat="1" ht="16.5" hidden="1" thickBot="1" x14ac:dyDescent="0.3">
      <c r="A114" s="106" t="s">
        <v>321</v>
      </c>
      <c r="B114" s="112"/>
      <c r="C114" s="112"/>
      <c r="D114" s="112"/>
      <c r="E114" s="112"/>
      <c r="F114" s="113"/>
      <c r="G114" s="29">
        <f>SUM(G111:G113)</f>
        <v>0</v>
      </c>
      <c r="H114" s="95">
        <f>34*G114/100</f>
        <v>0</v>
      </c>
      <c r="I114" s="95">
        <v>0</v>
      </c>
      <c r="J114" s="95">
        <f>66*G114/100</f>
        <v>0</v>
      </c>
      <c r="K114" s="95"/>
    </row>
    <row r="115" spans="1:11" s="4" customFormat="1" ht="16.5" hidden="1" thickBot="1" x14ac:dyDescent="0.3">
      <c r="A115" s="10">
        <v>95</v>
      </c>
      <c r="B115" s="36" t="s">
        <v>235</v>
      </c>
      <c r="C115" s="42" t="s">
        <v>202</v>
      </c>
      <c r="D115" s="39" t="s">
        <v>108</v>
      </c>
      <c r="E115" s="14"/>
      <c r="F115" s="27">
        <v>19711</v>
      </c>
      <c r="G115" s="29">
        <f t="shared" si="0"/>
        <v>0</v>
      </c>
      <c r="H115" s="95"/>
      <c r="I115" s="95"/>
      <c r="J115" s="95"/>
      <c r="K115" s="95"/>
    </row>
    <row r="116" spans="1:11" s="4" customFormat="1" ht="16.5" hidden="1" thickBot="1" x14ac:dyDescent="0.3">
      <c r="A116" s="10">
        <v>96</v>
      </c>
      <c r="B116" s="36" t="s">
        <v>236</v>
      </c>
      <c r="C116" s="42" t="s">
        <v>203</v>
      </c>
      <c r="D116" s="39" t="s">
        <v>108</v>
      </c>
      <c r="E116" s="14"/>
      <c r="F116" s="27">
        <v>21140</v>
      </c>
      <c r="G116" s="29">
        <f t="shared" si="0"/>
        <v>0</v>
      </c>
      <c r="H116" s="95"/>
      <c r="I116" s="95"/>
      <c r="J116" s="95"/>
      <c r="K116" s="95"/>
    </row>
    <row r="117" spans="1:11" s="4" customFormat="1" ht="16.5" hidden="1" thickBot="1" x14ac:dyDescent="0.3">
      <c r="A117" s="10">
        <v>97</v>
      </c>
      <c r="B117" s="36" t="s">
        <v>237</v>
      </c>
      <c r="C117" s="42" t="s">
        <v>204</v>
      </c>
      <c r="D117" s="39" t="s">
        <v>108</v>
      </c>
      <c r="E117" s="14"/>
      <c r="F117" s="27">
        <v>22125</v>
      </c>
      <c r="G117" s="29">
        <f t="shared" si="0"/>
        <v>0</v>
      </c>
      <c r="H117" s="95"/>
      <c r="I117" s="95"/>
      <c r="J117" s="95"/>
      <c r="K117" s="95"/>
    </row>
    <row r="118" spans="1:11" s="4" customFormat="1" ht="16.5" hidden="1" thickBot="1" x14ac:dyDescent="0.3">
      <c r="A118" s="10">
        <v>98</v>
      </c>
      <c r="B118" s="36" t="s">
        <v>238</v>
      </c>
      <c r="C118" s="42" t="s">
        <v>205</v>
      </c>
      <c r="D118" s="39" t="s">
        <v>108</v>
      </c>
      <c r="E118" s="14"/>
      <c r="F118" s="27">
        <v>22489</v>
      </c>
      <c r="G118" s="29">
        <f t="shared" ref="G118" si="10">E118*F118</f>
        <v>0</v>
      </c>
      <c r="H118" s="95"/>
      <c r="I118" s="95"/>
      <c r="J118" s="95"/>
      <c r="K118" s="95"/>
    </row>
    <row r="119" spans="1:11" s="4" customFormat="1" ht="16.5" hidden="1" thickBot="1" x14ac:dyDescent="0.3">
      <c r="A119" s="10">
        <v>99</v>
      </c>
      <c r="B119" s="36" t="s">
        <v>335</v>
      </c>
      <c r="C119" s="42" t="s">
        <v>336</v>
      </c>
      <c r="D119" s="39" t="s">
        <v>108</v>
      </c>
      <c r="E119" s="14"/>
      <c r="F119" s="27">
        <v>28976</v>
      </c>
      <c r="G119" s="29">
        <f t="shared" si="0"/>
        <v>0</v>
      </c>
      <c r="H119" s="95"/>
      <c r="I119" s="95"/>
      <c r="J119" s="95"/>
      <c r="K119" s="95"/>
    </row>
    <row r="120" spans="1:11" s="4" customFormat="1" ht="16.5" hidden="1" thickBot="1" x14ac:dyDescent="0.3">
      <c r="A120" s="106" t="s">
        <v>322</v>
      </c>
      <c r="B120" s="107"/>
      <c r="C120" s="107"/>
      <c r="D120" s="107"/>
      <c r="E120" s="107"/>
      <c r="F120" s="108"/>
      <c r="G120" s="94">
        <f>SUM(G115:G119)</f>
        <v>0</v>
      </c>
      <c r="H120" s="95">
        <f>12*G120/100</f>
        <v>0</v>
      </c>
      <c r="I120" s="95">
        <v>0</v>
      </c>
      <c r="J120" s="95">
        <f>88*G120/100</f>
        <v>0</v>
      </c>
      <c r="K120" s="95"/>
    </row>
    <row r="121" spans="1:11" s="4" customFormat="1" ht="16.5" hidden="1" thickBot="1" x14ac:dyDescent="0.3">
      <c r="A121" s="10">
        <v>100</v>
      </c>
      <c r="B121" s="36" t="s">
        <v>239</v>
      </c>
      <c r="C121" s="44" t="s">
        <v>112</v>
      </c>
      <c r="D121" s="39" t="s">
        <v>113</v>
      </c>
      <c r="E121" s="14"/>
      <c r="F121" s="27">
        <v>68311</v>
      </c>
      <c r="G121" s="30">
        <f t="shared" si="0"/>
        <v>0</v>
      </c>
      <c r="H121" s="95">
        <f>34*G121/100</f>
        <v>0</v>
      </c>
      <c r="I121" s="95">
        <v>0</v>
      </c>
      <c r="J121" s="95">
        <f>66*G121/100</f>
        <v>0</v>
      </c>
      <c r="K121" s="95"/>
    </row>
    <row r="122" spans="1:11" s="4" customFormat="1" ht="16.5" thickBot="1" x14ac:dyDescent="0.3">
      <c r="A122" s="120" t="s">
        <v>85</v>
      </c>
      <c r="B122" s="121"/>
      <c r="C122" s="121"/>
      <c r="D122" s="121"/>
      <c r="E122" s="121"/>
      <c r="F122" s="122"/>
      <c r="G122" s="23">
        <f>G81+G95+G104+G110+G114+G120+G121</f>
        <v>444235</v>
      </c>
      <c r="H122" s="99">
        <f>SUM(H76:H121)</f>
        <v>21974.190000000002</v>
      </c>
      <c r="I122" s="99">
        <f>SUM(I76:I121)</f>
        <v>249121.96</v>
      </c>
      <c r="J122" s="99">
        <f>SUM(J76:J121)</f>
        <v>173138.84999999998</v>
      </c>
      <c r="K122" s="95">
        <f>SUM(H122:J122)</f>
        <v>444235</v>
      </c>
    </row>
    <row r="123" spans="1:11" s="4" customFormat="1" ht="19.5" thickBot="1" x14ac:dyDescent="0.3">
      <c r="A123" s="123" t="s">
        <v>243</v>
      </c>
      <c r="B123" s="124"/>
      <c r="C123" s="124"/>
      <c r="D123" s="124"/>
      <c r="E123" s="124"/>
      <c r="F123" s="124"/>
      <c r="G123" s="125"/>
      <c r="H123" s="95"/>
      <c r="I123" s="95"/>
      <c r="J123" s="95"/>
      <c r="K123" s="95"/>
    </row>
    <row r="124" spans="1:11" s="4" customFormat="1" hidden="1" x14ac:dyDescent="0.25">
      <c r="A124" s="10">
        <v>101</v>
      </c>
      <c r="B124" s="35" t="s">
        <v>240</v>
      </c>
      <c r="C124" s="41" t="s">
        <v>78</v>
      </c>
      <c r="D124" s="38" t="s">
        <v>81</v>
      </c>
      <c r="E124" s="13"/>
      <c r="F124" s="26">
        <v>475758</v>
      </c>
      <c r="G124" s="28">
        <f t="shared" si="0"/>
        <v>0</v>
      </c>
      <c r="H124" s="95"/>
      <c r="I124" s="95"/>
      <c r="J124" s="95"/>
      <c r="K124" s="95"/>
    </row>
    <row r="125" spans="1:11" s="4" customFormat="1" hidden="1" x14ac:dyDescent="0.25">
      <c r="A125" s="9">
        <v>102</v>
      </c>
      <c r="B125" s="36" t="s">
        <v>241</v>
      </c>
      <c r="C125" s="43" t="s">
        <v>79</v>
      </c>
      <c r="D125" s="39" t="s">
        <v>82</v>
      </c>
      <c r="E125" s="14"/>
      <c r="F125" s="27">
        <v>809</v>
      </c>
      <c r="G125" s="29">
        <f t="shared" si="0"/>
        <v>0</v>
      </c>
      <c r="H125" s="95"/>
      <c r="I125" s="95"/>
      <c r="J125" s="95"/>
      <c r="K125" s="95"/>
    </row>
    <row r="126" spans="1:11" s="4" customFormat="1" ht="16.5" thickBot="1" x14ac:dyDescent="0.3">
      <c r="A126" s="10">
        <v>103</v>
      </c>
      <c r="B126" s="36" t="s">
        <v>242</v>
      </c>
      <c r="C126" s="43" t="s">
        <v>80</v>
      </c>
      <c r="D126" s="39" t="s">
        <v>82</v>
      </c>
      <c r="E126" s="14">
        <v>110</v>
      </c>
      <c r="F126" s="27">
        <v>796</v>
      </c>
      <c r="G126" s="50">
        <f t="shared" si="0"/>
        <v>87560</v>
      </c>
      <c r="H126" s="95"/>
      <c r="I126" s="95"/>
      <c r="J126" s="95"/>
      <c r="K126" s="95"/>
    </row>
    <row r="127" spans="1:11" s="4" customFormat="1" ht="16.5" hidden="1" thickBot="1" x14ac:dyDescent="0.3">
      <c r="A127" s="9">
        <v>104</v>
      </c>
      <c r="B127" s="35" t="s">
        <v>244</v>
      </c>
      <c r="C127" s="52" t="s">
        <v>245</v>
      </c>
      <c r="D127" s="38" t="s">
        <v>246</v>
      </c>
      <c r="E127" s="75"/>
      <c r="F127" s="26">
        <v>281116</v>
      </c>
      <c r="G127" s="30">
        <f>E127*F127</f>
        <v>0</v>
      </c>
      <c r="H127" s="95"/>
      <c r="I127" s="95"/>
      <c r="J127" s="95"/>
      <c r="K127" s="95"/>
    </row>
    <row r="128" spans="1:11" s="4" customFormat="1" ht="16.5" thickBot="1" x14ac:dyDescent="0.3">
      <c r="A128" s="120" t="s">
        <v>247</v>
      </c>
      <c r="B128" s="121"/>
      <c r="C128" s="121"/>
      <c r="D128" s="121"/>
      <c r="E128" s="121"/>
      <c r="F128" s="122"/>
      <c r="G128" s="23">
        <f>SUM(G124:G127)</f>
        <v>87560</v>
      </c>
      <c r="H128" s="99">
        <v>0</v>
      </c>
      <c r="I128" s="99">
        <v>0</v>
      </c>
      <c r="J128" s="99">
        <f>G128</f>
        <v>87560</v>
      </c>
      <c r="K128" s="95">
        <f>SUM(H128:J128)</f>
        <v>87560</v>
      </c>
    </row>
    <row r="129" spans="1:11" s="4" customFormat="1" ht="19.5" thickBot="1" x14ac:dyDescent="0.3">
      <c r="A129" s="123" t="s">
        <v>86</v>
      </c>
      <c r="B129" s="124"/>
      <c r="C129" s="124"/>
      <c r="D129" s="124"/>
      <c r="E129" s="124"/>
      <c r="F129" s="124"/>
      <c r="G129" s="125"/>
      <c r="H129" s="95"/>
      <c r="I129" s="95"/>
      <c r="J129" s="95"/>
      <c r="K129" s="95"/>
    </row>
    <row r="130" spans="1:11" s="4" customFormat="1" hidden="1" x14ac:dyDescent="0.25">
      <c r="A130" s="10">
        <v>105</v>
      </c>
      <c r="B130" s="35" t="s">
        <v>253</v>
      </c>
      <c r="C130" s="41" t="s">
        <v>88</v>
      </c>
      <c r="D130" s="38" t="s">
        <v>53</v>
      </c>
      <c r="E130" s="13"/>
      <c r="F130" s="26">
        <v>2435</v>
      </c>
      <c r="G130" s="28">
        <f t="shared" si="0"/>
        <v>0</v>
      </c>
      <c r="H130" s="95"/>
      <c r="I130" s="95"/>
      <c r="J130" s="95"/>
      <c r="K130" s="95"/>
    </row>
    <row r="131" spans="1:11" s="4" customFormat="1" ht="31.5" hidden="1" x14ac:dyDescent="0.25">
      <c r="A131" s="9">
        <v>106</v>
      </c>
      <c r="B131" s="36" t="s">
        <v>254</v>
      </c>
      <c r="C131" s="43" t="s">
        <v>89</v>
      </c>
      <c r="D131" s="38" t="s">
        <v>53</v>
      </c>
      <c r="E131" s="14"/>
      <c r="F131" s="27">
        <v>6236</v>
      </c>
      <c r="G131" s="29">
        <f t="shared" si="0"/>
        <v>0</v>
      </c>
      <c r="H131" s="95"/>
      <c r="I131" s="95"/>
      <c r="J131" s="95"/>
      <c r="K131" s="95"/>
    </row>
    <row r="132" spans="1:11" s="4" customFormat="1" ht="31.5" hidden="1" x14ac:dyDescent="0.25">
      <c r="A132" s="10">
        <v>107</v>
      </c>
      <c r="B132" s="36" t="s">
        <v>255</v>
      </c>
      <c r="C132" s="43" t="s">
        <v>99</v>
      </c>
      <c r="D132" s="38" t="s">
        <v>53</v>
      </c>
      <c r="E132" s="14"/>
      <c r="F132" s="27">
        <v>9201</v>
      </c>
      <c r="G132" s="29">
        <f t="shared" si="0"/>
        <v>0</v>
      </c>
      <c r="H132" s="95"/>
      <c r="I132" s="95"/>
      <c r="J132" s="95"/>
      <c r="K132" s="95"/>
    </row>
    <row r="133" spans="1:11" s="4" customFormat="1" hidden="1" x14ac:dyDescent="0.25">
      <c r="A133" s="9">
        <v>108</v>
      </c>
      <c r="B133" s="36" t="s">
        <v>256</v>
      </c>
      <c r="C133" s="43" t="s">
        <v>90</v>
      </c>
      <c r="D133" s="38" t="s">
        <v>53</v>
      </c>
      <c r="E133" s="14"/>
      <c r="F133" s="27">
        <v>4091</v>
      </c>
      <c r="G133" s="29">
        <f t="shared" si="0"/>
        <v>0</v>
      </c>
      <c r="H133" s="95"/>
      <c r="I133" s="95"/>
      <c r="J133" s="95"/>
      <c r="K133" s="95"/>
    </row>
    <row r="134" spans="1:11" s="4" customFormat="1" ht="31.5" hidden="1" x14ac:dyDescent="0.25">
      <c r="A134" s="10">
        <v>109</v>
      </c>
      <c r="B134" s="36" t="s">
        <v>257</v>
      </c>
      <c r="C134" s="43" t="s">
        <v>91</v>
      </c>
      <c r="D134" s="38" t="s">
        <v>53</v>
      </c>
      <c r="E134" s="14"/>
      <c r="F134" s="27">
        <v>8038</v>
      </c>
      <c r="G134" s="29">
        <f t="shared" si="0"/>
        <v>0</v>
      </c>
      <c r="H134" s="95"/>
      <c r="I134" s="95"/>
      <c r="J134" s="95"/>
      <c r="K134" s="95"/>
    </row>
    <row r="135" spans="1:11" s="4" customFormat="1" ht="31.5" hidden="1" x14ac:dyDescent="0.25">
      <c r="A135" s="9">
        <v>110</v>
      </c>
      <c r="B135" s="36" t="s">
        <v>258</v>
      </c>
      <c r="C135" s="43" t="s">
        <v>100</v>
      </c>
      <c r="D135" s="38" t="s">
        <v>53</v>
      </c>
      <c r="E135" s="14"/>
      <c r="F135" s="27">
        <v>12268</v>
      </c>
      <c r="G135" s="29">
        <f t="shared" si="0"/>
        <v>0</v>
      </c>
      <c r="H135" s="95"/>
      <c r="I135" s="95"/>
      <c r="J135" s="95"/>
      <c r="K135" s="95"/>
    </row>
    <row r="136" spans="1:11" s="4" customFormat="1" hidden="1" x14ac:dyDescent="0.25">
      <c r="A136" s="10">
        <v>111</v>
      </c>
      <c r="B136" s="36" t="s">
        <v>259</v>
      </c>
      <c r="C136" s="43" t="s">
        <v>92</v>
      </c>
      <c r="D136" s="38" t="s">
        <v>53</v>
      </c>
      <c r="E136" s="14"/>
      <c r="F136" s="27">
        <v>1550</v>
      </c>
      <c r="G136" s="29">
        <f t="shared" si="0"/>
        <v>0</v>
      </c>
      <c r="H136" s="95"/>
      <c r="I136" s="95"/>
      <c r="J136" s="95"/>
      <c r="K136" s="95"/>
    </row>
    <row r="137" spans="1:11" s="4" customFormat="1" hidden="1" x14ac:dyDescent="0.25">
      <c r="A137" s="9">
        <v>112</v>
      </c>
      <c r="B137" s="36" t="s">
        <v>260</v>
      </c>
      <c r="C137" s="43" t="s">
        <v>248</v>
      </c>
      <c r="D137" s="38" t="s">
        <v>200</v>
      </c>
      <c r="E137" s="14"/>
      <c r="F137" s="27">
        <v>453</v>
      </c>
      <c r="G137" s="29">
        <f t="shared" si="0"/>
        <v>0</v>
      </c>
      <c r="H137" s="95"/>
      <c r="I137" s="95"/>
      <c r="J137" s="95"/>
      <c r="K137" s="95"/>
    </row>
    <row r="138" spans="1:11" s="4" customFormat="1" hidden="1" x14ac:dyDescent="0.25">
      <c r="A138" s="10">
        <v>113</v>
      </c>
      <c r="B138" s="36" t="s">
        <v>261</v>
      </c>
      <c r="C138" s="43" t="s">
        <v>249</v>
      </c>
      <c r="D138" s="38" t="s">
        <v>200</v>
      </c>
      <c r="E138" s="14"/>
      <c r="F138" s="27">
        <v>736</v>
      </c>
      <c r="G138" s="29">
        <f t="shared" si="0"/>
        <v>0</v>
      </c>
      <c r="H138" s="95"/>
      <c r="I138" s="95"/>
      <c r="J138" s="95"/>
      <c r="K138" s="95"/>
    </row>
    <row r="139" spans="1:11" s="4" customFormat="1" hidden="1" x14ac:dyDescent="0.25">
      <c r="A139" s="9">
        <v>114</v>
      </c>
      <c r="B139" s="36" t="s">
        <v>262</v>
      </c>
      <c r="C139" s="43" t="s">
        <v>93</v>
      </c>
      <c r="D139" s="38" t="s">
        <v>53</v>
      </c>
      <c r="E139" s="14"/>
      <c r="F139" s="27">
        <v>2013</v>
      </c>
      <c r="G139" s="29">
        <f t="shared" si="0"/>
        <v>0</v>
      </c>
      <c r="H139" s="95"/>
      <c r="I139" s="95"/>
      <c r="J139" s="95"/>
      <c r="K139" s="95"/>
    </row>
    <row r="140" spans="1:11" s="4" customFormat="1" hidden="1" x14ac:dyDescent="0.25">
      <c r="A140" s="10">
        <v>115</v>
      </c>
      <c r="B140" s="36" t="s">
        <v>263</v>
      </c>
      <c r="C140" s="43" t="s">
        <v>94</v>
      </c>
      <c r="D140" s="39" t="s">
        <v>60</v>
      </c>
      <c r="E140" s="14"/>
      <c r="F140" s="27">
        <v>36759</v>
      </c>
      <c r="G140" s="29">
        <f t="shared" si="0"/>
        <v>0</v>
      </c>
      <c r="H140" s="95"/>
      <c r="I140" s="95"/>
      <c r="J140" s="95"/>
      <c r="K140" s="95"/>
    </row>
    <row r="141" spans="1:11" s="4" customFormat="1" hidden="1" x14ac:dyDescent="0.25">
      <c r="A141" s="9">
        <v>116</v>
      </c>
      <c r="B141" s="36" t="s">
        <v>264</v>
      </c>
      <c r="C141" s="43" t="s">
        <v>95</v>
      </c>
      <c r="D141" s="39" t="s">
        <v>60</v>
      </c>
      <c r="E141" s="14"/>
      <c r="F141" s="27">
        <v>54694</v>
      </c>
      <c r="G141" s="29">
        <f t="shared" si="0"/>
        <v>0</v>
      </c>
      <c r="H141" s="95"/>
      <c r="I141" s="95"/>
      <c r="J141" s="95"/>
      <c r="K141" s="95"/>
    </row>
    <row r="142" spans="1:11" s="4" customFormat="1" hidden="1" x14ac:dyDescent="0.25">
      <c r="A142" s="10">
        <v>117</v>
      </c>
      <c r="B142" s="36" t="s">
        <v>265</v>
      </c>
      <c r="C142" s="43" t="s">
        <v>96</v>
      </c>
      <c r="D142" s="39" t="s">
        <v>60</v>
      </c>
      <c r="E142" s="14"/>
      <c r="F142" s="27">
        <v>25613</v>
      </c>
      <c r="G142" s="29">
        <f t="shared" si="0"/>
        <v>0</v>
      </c>
      <c r="H142" s="95"/>
      <c r="I142" s="95"/>
      <c r="J142" s="95"/>
      <c r="K142" s="95"/>
    </row>
    <row r="143" spans="1:11" s="4" customFormat="1" hidden="1" x14ac:dyDescent="0.25">
      <c r="A143" s="9">
        <v>118</v>
      </c>
      <c r="B143" s="36" t="s">
        <v>266</v>
      </c>
      <c r="C143" s="43" t="s">
        <v>97</v>
      </c>
      <c r="D143" s="39" t="s">
        <v>60</v>
      </c>
      <c r="E143" s="14"/>
      <c r="F143" s="27">
        <v>5421</v>
      </c>
      <c r="G143" s="29">
        <f t="shared" si="0"/>
        <v>0</v>
      </c>
      <c r="H143" s="95"/>
      <c r="I143" s="95"/>
      <c r="J143" s="95"/>
      <c r="K143" s="95"/>
    </row>
    <row r="144" spans="1:11" s="4" customFormat="1" ht="16.5" thickBot="1" x14ac:dyDescent="0.3">
      <c r="A144" s="10">
        <v>119</v>
      </c>
      <c r="B144" s="36" t="s">
        <v>267</v>
      </c>
      <c r="C144" s="43" t="s">
        <v>98</v>
      </c>
      <c r="D144" s="39" t="s">
        <v>60</v>
      </c>
      <c r="E144" s="14">
        <v>1</v>
      </c>
      <c r="F144" s="27">
        <v>1935</v>
      </c>
      <c r="G144" s="50">
        <f t="shared" si="0"/>
        <v>1935</v>
      </c>
      <c r="H144" s="95"/>
      <c r="I144" s="95"/>
      <c r="J144" s="95"/>
      <c r="K144" s="95"/>
    </row>
    <row r="145" spans="1:11" s="4" customFormat="1" ht="16.5" hidden="1" thickBot="1" x14ac:dyDescent="0.3">
      <c r="A145" s="9">
        <v>120</v>
      </c>
      <c r="B145" s="36" t="s">
        <v>268</v>
      </c>
      <c r="C145" s="42" t="s">
        <v>114</v>
      </c>
      <c r="D145" s="39" t="s">
        <v>108</v>
      </c>
      <c r="E145" s="14"/>
      <c r="F145" s="27">
        <v>3945</v>
      </c>
      <c r="G145" s="29">
        <f>E145*F145</f>
        <v>0</v>
      </c>
      <c r="H145" s="95"/>
      <c r="I145" s="95"/>
      <c r="J145" s="95"/>
      <c r="K145" s="95"/>
    </row>
    <row r="146" spans="1:11" s="4" customFormat="1" ht="16.5" hidden="1" thickBot="1" x14ac:dyDescent="0.3">
      <c r="A146" s="10">
        <v>121</v>
      </c>
      <c r="B146" s="36" t="s">
        <v>269</v>
      </c>
      <c r="C146" s="43" t="s">
        <v>118</v>
      </c>
      <c r="D146" s="39" t="s">
        <v>60</v>
      </c>
      <c r="E146" s="14"/>
      <c r="F146" s="27">
        <v>5086</v>
      </c>
      <c r="G146" s="29">
        <f>E146*F146</f>
        <v>0</v>
      </c>
      <c r="H146" s="95"/>
      <c r="I146" s="95"/>
      <c r="J146" s="95"/>
      <c r="K146" s="95"/>
    </row>
    <row r="147" spans="1:11" s="4" customFormat="1" ht="16.5" hidden="1" thickBot="1" x14ac:dyDescent="0.3">
      <c r="A147" s="9">
        <v>122</v>
      </c>
      <c r="B147" s="36" t="s">
        <v>270</v>
      </c>
      <c r="C147" s="44" t="s">
        <v>119</v>
      </c>
      <c r="D147" s="39" t="s">
        <v>113</v>
      </c>
      <c r="E147" s="14"/>
      <c r="F147" s="27">
        <v>15366</v>
      </c>
      <c r="G147" s="30">
        <f>E147*F147</f>
        <v>0</v>
      </c>
      <c r="H147" s="95"/>
      <c r="I147" s="95"/>
      <c r="J147" s="95"/>
      <c r="K147" s="95"/>
    </row>
    <row r="148" spans="1:11" s="4" customFormat="1" ht="16.5" thickBot="1" x14ac:dyDescent="0.3">
      <c r="A148" s="120" t="s">
        <v>87</v>
      </c>
      <c r="B148" s="121"/>
      <c r="C148" s="121"/>
      <c r="D148" s="121"/>
      <c r="E148" s="121"/>
      <c r="F148" s="122"/>
      <c r="G148" s="25">
        <f>SUM(G130:G147)</f>
        <v>1935</v>
      </c>
      <c r="H148" s="99">
        <v>0</v>
      </c>
      <c r="I148" s="99">
        <v>0</v>
      </c>
      <c r="J148" s="99">
        <f>G148</f>
        <v>1935</v>
      </c>
      <c r="K148" s="95">
        <f>SUM(H148:J148)</f>
        <v>1935</v>
      </c>
    </row>
    <row r="149" spans="1:11" s="4" customFormat="1" ht="19.5" thickBot="1" x14ac:dyDescent="0.3">
      <c r="A149" s="123" t="s">
        <v>271</v>
      </c>
      <c r="B149" s="124"/>
      <c r="C149" s="124"/>
      <c r="D149" s="124"/>
      <c r="E149" s="124"/>
      <c r="F149" s="124"/>
      <c r="G149" s="125"/>
      <c r="H149" s="95"/>
      <c r="I149" s="95"/>
      <c r="J149" s="95"/>
      <c r="K149" s="95"/>
    </row>
    <row r="150" spans="1:11" s="4" customFormat="1" x14ac:dyDescent="0.25">
      <c r="A150" s="10">
        <v>123</v>
      </c>
      <c r="B150" s="35" t="s">
        <v>281</v>
      </c>
      <c r="C150" s="41" t="s">
        <v>297</v>
      </c>
      <c r="D150" s="38" t="s">
        <v>274</v>
      </c>
      <c r="E150" s="13">
        <v>2</v>
      </c>
      <c r="F150" s="26">
        <v>23146.93</v>
      </c>
      <c r="G150" s="28">
        <f t="shared" ref="G150:G165" si="11">E150*F150</f>
        <v>46293.86</v>
      </c>
      <c r="H150" s="95"/>
      <c r="I150" s="95"/>
      <c r="J150" s="95"/>
      <c r="K150" s="95"/>
    </row>
    <row r="151" spans="1:11" s="4" customFormat="1" x14ac:dyDescent="0.25">
      <c r="A151" s="9">
        <v>124</v>
      </c>
      <c r="B151" s="36" t="s">
        <v>282</v>
      </c>
      <c r="C151" s="43" t="s">
        <v>298</v>
      </c>
      <c r="D151" s="38" t="s">
        <v>274</v>
      </c>
      <c r="E151" s="14">
        <v>1</v>
      </c>
      <c r="F151" s="27">
        <v>34212.29</v>
      </c>
      <c r="G151" s="29">
        <f t="shared" si="11"/>
        <v>34212.29</v>
      </c>
      <c r="H151" s="95"/>
      <c r="I151" s="95"/>
      <c r="J151" s="95"/>
      <c r="K151" s="95"/>
    </row>
    <row r="152" spans="1:11" s="4" customFormat="1" hidden="1" x14ac:dyDescent="0.25">
      <c r="A152" s="10">
        <v>125</v>
      </c>
      <c r="B152" s="36" t="s">
        <v>283</v>
      </c>
      <c r="C152" s="43" t="s">
        <v>299</v>
      </c>
      <c r="D152" s="38" t="s">
        <v>275</v>
      </c>
      <c r="E152" s="14"/>
      <c r="F152" s="27">
        <v>23146.93</v>
      </c>
      <c r="G152" s="29">
        <f t="shared" si="11"/>
        <v>0</v>
      </c>
      <c r="H152" s="95"/>
      <c r="I152" s="95"/>
      <c r="J152" s="95"/>
      <c r="K152" s="95"/>
    </row>
    <row r="153" spans="1:11" s="4" customFormat="1" hidden="1" x14ac:dyDescent="0.25">
      <c r="A153" s="9">
        <v>126</v>
      </c>
      <c r="B153" s="36" t="s">
        <v>284</v>
      </c>
      <c r="C153" s="43" t="s">
        <v>300</v>
      </c>
      <c r="D153" s="38" t="s">
        <v>275</v>
      </c>
      <c r="E153" s="14"/>
      <c r="F153" s="27">
        <v>34212.29</v>
      </c>
      <c r="G153" s="29">
        <f t="shared" si="11"/>
        <v>0</v>
      </c>
      <c r="H153" s="95"/>
      <c r="I153" s="95"/>
      <c r="J153" s="95"/>
      <c r="K153" s="95"/>
    </row>
    <row r="154" spans="1:11" s="4" customFormat="1" hidden="1" x14ac:dyDescent="0.25">
      <c r="A154" s="10">
        <v>127</v>
      </c>
      <c r="B154" s="36" t="s">
        <v>285</v>
      </c>
      <c r="C154" s="43" t="s">
        <v>301</v>
      </c>
      <c r="D154" s="38" t="s">
        <v>275</v>
      </c>
      <c r="E154" s="14"/>
      <c r="F154" s="27">
        <v>41965.58</v>
      </c>
      <c r="G154" s="29">
        <f t="shared" si="11"/>
        <v>0</v>
      </c>
      <c r="H154" s="95"/>
      <c r="I154" s="95"/>
      <c r="J154" s="95"/>
      <c r="K154" s="95"/>
    </row>
    <row r="155" spans="1:11" s="4" customFormat="1" hidden="1" x14ac:dyDescent="0.25">
      <c r="A155" s="9">
        <v>128</v>
      </c>
      <c r="B155" s="36" t="s">
        <v>286</v>
      </c>
      <c r="C155" s="43" t="s">
        <v>302</v>
      </c>
      <c r="D155" s="38" t="s">
        <v>275</v>
      </c>
      <c r="E155" s="14"/>
      <c r="F155" s="27">
        <v>41659.33</v>
      </c>
      <c r="G155" s="29">
        <f t="shared" si="11"/>
        <v>0</v>
      </c>
      <c r="H155" s="95"/>
      <c r="I155" s="95"/>
      <c r="J155" s="95"/>
      <c r="K155" s="95"/>
    </row>
    <row r="156" spans="1:11" s="4" customFormat="1" hidden="1" x14ac:dyDescent="0.25">
      <c r="A156" s="10">
        <v>129</v>
      </c>
      <c r="B156" s="36" t="s">
        <v>287</v>
      </c>
      <c r="C156" s="43" t="s">
        <v>303</v>
      </c>
      <c r="D156" s="38" t="s">
        <v>275</v>
      </c>
      <c r="E156" s="14"/>
      <c r="F156" s="27">
        <v>66144.84</v>
      </c>
      <c r="G156" s="29">
        <f t="shared" si="11"/>
        <v>0</v>
      </c>
      <c r="H156" s="95"/>
      <c r="I156" s="95"/>
      <c r="J156" s="95"/>
      <c r="K156" s="95"/>
    </row>
    <row r="157" spans="1:11" s="4" customFormat="1" x14ac:dyDescent="0.25">
      <c r="A157" s="9">
        <v>130</v>
      </c>
      <c r="B157" s="36" t="s">
        <v>288</v>
      </c>
      <c r="C157" s="43" t="s">
        <v>304</v>
      </c>
      <c r="D157" s="38" t="s">
        <v>274</v>
      </c>
      <c r="E157" s="14">
        <v>1</v>
      </c>
      <c r="F157" s="27">
        <v>17743.29</v>
      </c>
      <c r="G157" s="29">
        <f t="shared" si="11"/>
        <v>17743.29</v>
      </c>
      <c r="H157" s="95"/>
      <c r="I157" s="95"/>
      <c r="J157" s="95"/>
      <c r="K157" s="95"/>
    </row>
    <row r="158" spans="1:11" s="4" customFormat="1" hidden="1" x14ac:dyDescent="0.25">
      <c r="A158" s="10">
        <v>131</v>
      </c>
      <c r="B158" s="36" t="s">
        <v>289</v>
      </c>
      <c r="C158" s="43" t="s">
        <v>305</v>
      </c>
      <c r="D158" s="38" t="s">
        <v>274</v>
      </c>
      <c r="E158" s="14"/>
      <c r="F158" s="27">
        <v>55918.25</v>
      </c>
      <c r="G158" s="29">
        <f>F158*E158</f>
        <v>0</v>
      </c>
      <c r="H158" s="95"/>
      <c r="I158" s="95"/>
      <c r="J158" s="95"/>
      <c r="K158" s="95"/>
    </row>
    <row r="159" spans="1:11" s="4" customFormat="1" hidden="1" x14ac:dyDescent="0.25">
      <c r="A159" s="9">
        <v>132</v>
      </c>
      <c r="B159" s="36" t="s">
        <v>290</v>
      </c>
      <c r="C159" s="43" t="s">
        <v>306</v>
      </c>
      <c r="D159" s="38" t="s">
        <v>184</v>
      </c>
      <c r="E159" s="14"/>
      <c r="F159" s="27">
        <v>353790.47</v>
      </c>
      <c r="G159" s="29">
        <f t="shared" si="11"/>
        <v>0</v>
      </c>
      <c r="H159" s="95"/>
      <c r="I159" s="95"/>
      <c r="J159" s="95"/>
      <c r="K159" s="95"/>
    </row>
    <row r="160" spans="1:11" s="4" customFormat="1" ht="31.5" hidden="1" x14ac:dyDescent="0.25">
      <c r="A160" s="10">
        <v>133</v>
      </c>
      <c r="B160" s="36" t="s">
        <v>291</v>
      </c>
      <c r="C160" s="43" t="s">
        <v>279</v>
      </c>
      <c r="D160" s="38" t="s">
        <v>278</v>
      </c>
      <c r="E160" s="14"/>
      <c r="F160" s="27">
        <v>31432.25</v>
      </c>
      <c r="G160" s="29">
        <f>F160*E160</f>
        <v>0</v>
      </c>
      <c r="H160" s="95"/>
      <c r="I160" s="95"/>
      <c r="J160" s="95"/>
      <c r="K160" s="95"/>
    </row>
    <row r="161" spans="1:11" s="4" customFormat="1" ht="31.5" x14ac:dyDescent="0.25">
      <c r="A161" s="9">
        <v>134</v>
      </c>
      <c r="B161" s="36" t="s">
        <v>307</v>
      </c>
      <c r="C161" s="43" t="s">
        <v>280</v>
      </c>
      <c r="D161" s="38" t="s">
        <v>278</v>
      </c>
      <c r="E161" s="14">
        <f>(700+31+160)*20/10000</f>
        <v>1.782</v>
      </c>
      <c r="F161" s="27">
        <v>45405.97</v>
      </c>
      <c r="G161" s="29">
        <f>F161*E161</f>
        <v>80913.438540000003</v>
      </c>
      <c r="H161" s="95"/>
      <c r="I161" s="95"/>
      <c r="J161" s="95"/>
      <c r="K161" s="95"/>
    </row>
    <row r="162" spans="1:11" s="4" customFormat="1" hidden="1" x14ac:dyDescent="0.25">
      <c r="A162" s="10">
        <v>135</v>
      </c>
      <c r="B162" s="36" t="s">
        <v>308</v>
      </c>
      <c r="C162" s="43" t="s">
        <v>309</v>
      </c>
      <c r="D162" s="38" t="s">
        <v>310</v>
      </c>
      <c r="E162" s="14"/>
      <c r="F162" s="27">
        <v>5084.92</v>
      </c>
      <c r="G162" s="29">
        <f t="shared" si="11"/>
        <v>0</v>
      </c>
      <c r="H162" s="95"/>
      <c r="I162" s="95"/>
      <c r="J162" s="95"/>
      <c r="K162" s="95"/>
    </row>
    <row r="163" spans="1:11" s="4" customFormat="1" ht="31.5" x14ac:dyDescent="0.25">
      <c r="A163" s="9">
        <v>136</v>
      </c>
      <c r="B163" s="36" t="s">
        <v>311</v>
      </c>
      <c r="C163" s="43" t="s">
        <v>272</v>
      </c>
      <c r="D163" s="38" t="s">
        <v>274</v>
      </c>
      <c r="E163" s="14">
        <v>1</v>
      </c>
      <c r="F163" s="27">
        <v>13851.91</v>
      </c>
      <c r="G163" s="29">
        <f>F163*E163</f>
        <v>13851.91</v>
      </c>
      <c r="H163" s="95"/>
      <c r="I163" s="95"/>
      <c r="J163" s="95"/>
      <c r="K163" s="95"/>
    </row>
    <row r="164" spans="1:11" s="4" customFormat="1" ht="32.25" thickBot="1" x14ac:dyDescent="0.3">
      <c r="A164" s="10">
        <v>137</v>
      </c>
      <c r="B164" s="36" t="s">
        <v>312</v>
      </c>
      <c r="C164" s="43" t="s">
        <v>273</v>
      </c>
      <c r="D164" s="38" t="s">
        <v>276</v>
      </c>
      <c r="E164" s="14">
        <v>0.7</v>
      </c>
      <c r="F164" s="27">
        <v>21899.63</v>
      </c>
      <c r="G164" s="29">
        <f>F164*E164</f>
        <v>15329.741</v>
      </c>
      <c r="H164" s="95"/>
      <c r="I164" s="95"/>
      <c r="J164" s="95"/>
      <c r="K164" s="95"/>
    </row>
    <row r="165" spans="1:11" s="4" customFormat="1" ht="16.5" hidden="1" thickBot="1" x14ac:dyDescent="0.3">
      <c r="A165" s="9">
        <v>138</v>
      </c>
      <c r="B165" s="36" t="s">
        <v>313</v>
      </c>
      <c r="C165" s="43" t="s">
        <v>277</v>
      </c>
      <c r="D165" s="38" t="s">
        <v>274</v>
      </c>
      <c r="E165" s="14"/>
      <c r="F165" s="27">
        <v>10378.11</v>
      </c>
      <c r="G165" s="29">
        <f t="shared" si="11"/>
        <v>0</v>
      </c>
      <c r="H165" s="95"/>
      <c r="I165" s="95"/>
      <c r="J165" s="95"/>
      <c r="K165" s="95"/>
    </row>
    <row r="166" spans="1:11" s="4" customFormat="1" ht="16.5" thickBot="1" x14ac:dyDescent="0.3">
      <c r="A166" s="120" t="s">
        <v>294</v>
      </c>
      <c r="B166" s="121"/>
      <c r="C166" s="121"/>
      <c r="D166" s="121"/>
      <c r="E166" s="121"/>
      <c r="F166" s="122"/>
      <c r="G166" s="25">
        <f>SUM(G150:G165)</f>
        <v>208344.52954000002</v>
      </c>
      <c r="H166" s="99">
        <v>0</v>
      </c>
      <c r="I166" s="99">
        <v>0</v>
      </c>
      <c r="J166" s="99">
        <f>G166</f>
        <v>208344.52954000002</v>
      </c>
      <c r="K166" s="95">
        <f>SUM(H166:J166)</f>
        <v>208344.52954000002</v>
      </c>
    </row>
    <row r="167" spans="1:11" s="4" customFormat="1" ht="19.5" thickBot="1" x14ac:dyDescent="0.3">
      <c r="A167" s="123" t="s">
        <v>120</v>
      </c>
      <c r="B167" s="124"/>
      <c r="C167" s="124"/>
      <c r="D167" s="124"/>
      <c r="E167" s="124"/>
      <c r="F167" s="124"/>
      <c r="G167" s="125"/>
      <c r="H167" s="95"/>
      <c r="I167" s="95"/>
      <c r="J167" s="95"/>
      <c r="K167" s="95"/>
    </row>
    <row r="168" spans="1:11" s="24" customFormat="1" ht="18.75" x14ac:dyDescent="0.3">
      <c r="A168" s="10">
        <v>139</v>
      </c>
      <c r="B168" s="35" t="s">
        <v>314</v>
      </c>
      <c r="C168" s="41" t="s">
        <v>251</v>
      </c>
      <c r="D168" s="38" t="s">
        <v>250</v>
      </c>
      <c r="E168" s="13">
        <v>5</v>
      </c>
      <c r="F168" s="26">
        <v>20889.439999999999</v>
      </c>
      <c r="G168" s="28">
        <f>E168*F168</f>
        <v>104447.2</v>
      </c>
      <c r="H168" s="100"/>
      <c r="I168" s="100"/>
      <c r="J168" s="100"/>
      <c r="K168" s="100"/>
    </row>
    <row r="169" spans="1:11" s="4" customFormat="1" ht="16.5" thickBot="1" x14ac:dyDescent="0.3">
      <c r="A169" s="9">
        <v>140</v>
      </c>
      <c r="B169" s="36" t="s">
        <v>315</v>
      </c>
      <c r="C169" s="43" t="s">
        <v>252</v>
      </c>
      <c r="D169" s="39" t="s">
        <v>250</v>
      </c>
      <c r="E169" s="14">
        <v>25</v>
      </c>
      <c r="F169" s="27">
        <v>11519.76</v>
      </c>
      <c r="G169" s="29">
        <f>E169*F169</f>
        <v>287994</v>
      </c>
      <c r="H169" s="95"/>
      <c r="I169" s="95"/>
      <c r="J169" s="95"/>
      <c r="K169" s="95"/>
    </row>
    <row r="170" spans="1:11" x14ac:dyDescent="0.2">
      <c r="A170" s="143" t="s">
        <v>121</v>
      </c>
      <c r="B170" s="144"/>
      <c r="C170" s="144"/>
      <c r="D170" s="144"/>
      <c r="E170" s="144"/>
      <c r="F170" s="145"/>
      <c r="G170" s="69">
        <f>SUM(G168:G169)</f>
        <v>392441.2</v>
      </c>
      <c r="H170" s="101">
        <v>0</v>
      </c>
      <c r="I170" s="101">
        <v>0</v>
      </c>
      <c r="J170" s="101">
        <f>G170</f>
        <v>392441.2</v>
      </c>
      <c r="K170" s="102">
        <f>SUM(H170:J170)</f>
        <v>392441.2</v>
      </c>
    </row>
    <row r="171" spans="1:11" ht="32.25" hidden="1" thickBot="1" x14ac:dyDescent="0.25">
      <c r="A171" s="71">
        <v>141</v>
      </c>
      <c r="B171" s="72" t="s">
        <v>292</v>
      </c>
      <c r="C171" s="114" t="s">
        <v>293</v>
      </c>
      <c r="D171" s="115"/>
      <c r="E171" s="115"/>
      <c r="F171" s="116"/>
      <c r="G171" s="73">
        <v>0</v>
      </c>
      <c r="H171" s="102"/>
      <c r="I171" s="102"/>
      <c r="J171" s="102"/>
      <c r="K171" s="102"/>
    </row>
    <row r="172" spans="1:11" s="4" customFormat="1" ht="19.5" thickBot="1" x14ac:dyDescent="0.3">
      <c r="A172" s="117" t="s">
        <v>101</v>
      </c>
      <c r="B172" s="118"/>
      <c r="C172" s="118"/>
      <c r="D172" s="118"/>
      <c r="E172" s="118"/>
      <c r="F172" s="119"/>
      <c r="G172" s="70">
        <f>SUM(G29,G67,G74,G122,G128,G148,G166,G170)+G171</f>
        <v>2534856.9055400002</v>
      </c>
      <c r="H172" s="103">
        <f>H28+H29+H67+H74+H122+H128+H148+H166+H170</f>
        <v>657654.36307600001</v>
      </c>
      <c r="I172" s="103">
        <f>I28+I29+I67+I74+I122+I128+I148+I166+I170</f>
        <v>250141.66795999999</v>
      </c>
      <c r="J172" s="103">
        <f>J28+J29+J67+J74+J122+J128+J148+J166+J170</f>
        <v>1627060.8745039999</v>
      </c>
      <c r="K172" s="95">
        <f>SUM(H172:J172)</f>
        <v>2534856.9055399997</v>
      </c>
    </row>
    <row r="173" spans="1:11" x14ac:dyDescent="0.2">
      <c r="A173" s="5"/>
      <c r="B173" s="5"/>
      <c r="C173" s="6"/>
      <c r="D173" s="7"/>
      <c r="E173" s="8"/>
      <c r="F173" s="8"/>
      <c r="G173" s="8"/>
    </row>
    <row r="174" spans="1:11" x14ac:dyDescent="0.25">
      <c r="A174" s="4"/>
      <c r="B174" s="4"/>
      <c r="C174" s="4"/>
      <c r="D174" s="4"/>
      <c r="E174" s="15"/>
      <c r="F174" s="15"/>
      <c r="G174" s="15"/>
      <c r="H174" s="104">
        <f>H172/G172</f>
        <v>0.25944437401522669</v>
      </c>
      <c r="I174" s="104">
        <f>I172/G172</f>
        <v>9.8680784470834795E-2</v>
      </c>
      <c r="J174" s="104">
        <f>J172/G172</f>
        <v>0.64187484151393837</v>
      </c>
      <c r="K174" s="105">
        <f>J174+I174+H174</f>
        <v>0.99999999999999989</v>
      </c>
    </row>
    <row r="175" spans="1:11" x14ac:dyDescent="0.2">
      <c r="A175" s="126"/>
      <c r="B175" s="126"/>
      <c r="C175" s="126"/>
      <c r="D175" s="126"/>
      <c r="E175" s="126"/>
      <c r="F175" s="126"/>
      <c r="G175" s="126"/>
    </row>
    <row r="176" spans="1:11" x14ac:dyDescent="0.25">
      <c r="A176" s="4"/>
      <c r="B176" s="4"/>
      <c r="C176" s="4"/>
      <c r="D176" s="4"/>
      <c r="E176" s="15"/>
      <c r="F176" s="15"/>
      <c r="G176" s="15"/>
    </row>
    <row r="177" spans="1:7" x14ac:dyDescent="0.25">
      <c r="A177" s="4"/>
      <c r="B177" s="4"/>
      <c r="C177" s="4"/>
      <c r="D177" s="4"/>
      <c r="E177" s="15"/>
      <c r="F177" s="15"/>
      <c r="G177" s="15"/>
    </row>
  </sheetData>
  <autoFilter ref="A7:G172">
    <filterColumn colId="6">
      <filters blank="1">
        <filter val="1 298 370,38"/>
        <filter val="1 935,00"/>
        <filter val="101 970,80"/>
        <filter val="11 758,80"/>
        <filter val="114 652,00"/>
        <filter val="13 851,91"/>
        <filter val="15 329,74"/>
        <filter val="17 743,29"/>
        <filter val="2 802 949,41"/>
        <filter val="208 344,53"/>
        <filter val="223 934,80"/>
        <filter val="29 869,00"/>
        <filter val="333 218,90"/>
        <filter val="34 212,29"/>
        <filter val="355 104,00"/>
        <filter val="429 759,00"/>
        <filter val="436 598,90"/>
        <filter val="438 595,00"/>
        <filter val="444 235,00"/>
        <filter val="46 293,86"/>
        <filter val="5 640,00"/>
        <filter val="60 343,00"/>
        <filter val="65 636,48"/>
        <filter val="660 533,70"/>
        <filter val="7"/>
        <filter val="80 913,44"/>
        <filter val="87 560,00"/>
      </filters>
    </filterColumn>
  </autoFilter>
  <mergeCells count="29">
    <mergeCell ref="A175:G175"/>
    <mergeCell ref="A122:F122"/>
    <mergeCell ref="A1:G1"/>
    <mergeCell ref="A2:G2"/>
    <mergeCell ref="A3:G3"/>
    <mergeCell ref="D5:E5"/>
    <mergeCell ref="A9:G9"/>
    <mergeCell ref="A29:F29"/>
    <mergeCell ref="A30:G30"/>
    <mergeCell ref="A67:F67"/>
    <mergeCell ref="A68:G68"/>
    <mergeCell ref="A74:F74"/>
    <mergeCell ref="A75:G75"/>
    <mergeCell ref="A167:G167"/>
    <mergeCell ref="A170:F170"/>
    <mergeCell ref="A123:G123"/>
    <mergeCell ref="C171:F171"/>
    <mergeCell ref="A172:F172"/>
    <mergeCell ref="A128:F128"/>
    <mergeCell ref="A129:G129"/>
    <mergeCell ref="A148:F148"/>
    <mergeCell ref="A149:G149"/>
    <mergeCell ref="A166:F166"/>
    <mergeCell ref="A120:F120"/>
    <mergeCell ref="A81:F81"/>
    <mergeCell ref="A95:F95"/>
    <mergeCell ref="A104:F104"/>
    <mergeCell ref="A110:F110"/>
    <mergeCell ref="A114:F114"/>
  </mergeCells>
  <pageMargins left="0.74803149606299213" right="0.51181102362204722" top="0.43307086614173229" bottom="0.31496062992125984" header="0.19685039370078741" footer="0.19685039370078741"/>
  <pageSetup paperSize="9" scale="77" fitToHeight="0" orientation="landscape" r:id="rId1"/>
  <headerFooter alignWithMargins="0"/>
  <rowBreaks count="1" manualBreakCount="1">
    <brk id="148" max="6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зимнего коэффициента</vt:lpstr>
      <vt:lpstr>'Без зимнего коэффициента'!Область_печати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Дрёмина Яна Сергеевна</cp:lastModifiedBy>
  <cp:lastPrinted>2020-08-31T00:43:39Z</cp:lastPrinted>
  <dcterms:created xsi:type="dcterms:W3CDTF">1996-10-08T23:32:33Z</dcterms:created>
  <dcterms:modified xsi:type="dcterms:W3CDTF">2020-09-22T23:28:06Z</dcterms:modified>
</cp:coreProperties>
</file>