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работа по ГКПЗ 2020\нов 91701 А не МСП\ДоЗ\Приложение 1 Технические требования\"/>
    </mc:Choice>
  </mc:AlternateContent>
  <bookViews>
    <workbookView xWindow="0" yWindow="0" windowWidth="29316" windowHeight="10644"/>
  </bookViews>
  <sheets>
    <sheet name="1" sheetId="2" r:id="rId1"/>
    <sheet name="МРСК" sheetId="3" r:id="rId2"/>
  </sheets>
  <definedNames>
    <definedName name="_xlnm.Print_Titles" localSheetId="0">'1'!$10:$10</definedName>
    <definedName name="_xlnm.Print_Area" localSheetId="0">'1'!$A$1:$H$92</definedName>
    <definedName name="_xlnm.Print_Area" localSheetId="1">МРСК!$A$1:$M$38</definedName>
  </definedNames>
  <calcPr calcId="162913"/>
</workbook>
</file>

<file path=xl/calcChain.xml><?xml version="1.0" encoding="utf-8"?>
<calcChain xmlns="http://schemas.openxmlformats.org/spreadsheetml/2006/main">
  <c r="K12" i="3" l="1"/>
  <c r="J12" i="3"/>
  <c r="I12" i="3"/>
  <c r="H12" i="3"/>
  <c r="L12" i="3"/>
  <c r="F12" i="3"/>
  <c r="G12" i="3"/>
  <c r="L50" i="2"/>
  <c r="L48" i="2"/>
  <c r="L42" i="2"/>
  <c r="L22" i="2"/>
  <c r="L16" i="2"/>
  <c r="L15" i="2"/>
  <c r="L13" i="2"/>
  <c r="L41" i="2"/>
  <c r="K50" i="2"/>
  <c r="K48" i="2"/>
  <c r="K42" i="2"/>
  <c r="K41" i="2"/>
  <c r="K22" i="2"/>
  <c r="K16" i="2"/>
  <c r="K15" i="2"/>
  <c r="K13" i="2"/>
  <c r="F50" i="2"/>
  <c r="E67" i="2" l="1"/>
  <c r="I13" i="3"/>
  <c r="I14" i="3" s="1"/>
  <c r="J13" i="3"/>
  <c r="J14" i="3" s="1"/>
  <c r="K13" i="3"/>
  <c r="L57" i="2"/>
  <c r="K57" i="2"/>
  <c r="L13" i="3" l="1"/>
  <c r="L14" i="3" s="1"/>
  <c r="L15" i="3" s="1"/>
  <c r="L16" i="3" s="1"/>
  <c r="K14" i="3"/>
  <c r="K15" i="3" s="1"/>
  <c r="K16" i="3" s="1"/>
  <c r="D74" i="2"/>
  <c r="H13" i="3"/>
  <c r="M12" i="3"/>
  <c r="M13" i="3" s="1"/>
  <c r="I15" i="3"/>
  <c r="I16" i="3" s="1"/>
  <c r="J15" i="3"/>
  <c r="J16" i="3" s="1"/>
  <c r="M14" i="3" l="1"/>
  <c r="H14" i="3"/>
  <c r="H15" i="3" s="1"/>
  <c r="M15" i="3" s="1"/>
  <c r="E59" i="2"/>
  <c r="H16" i="3" l="1"/>
  <c r="M16" i="3" s="1"/>
  <c r="G60" i="2" l="1"/>
  <c r="F69" i="2" l="1"/>
  <c r="D69" i="2"/>
  <c r="E69" i="2"/>
  <c r="G75" i="2" l="1"/>
  <c r="F75" i="2"/>
  <c r="E75" i="2"/>
  <c r="G62" i="2"/>
  <c r="G65" i="2" s="1"/>
  <c r="D60" i="2"/>
  <c r="D62" i="2" s="1"/>
  <c r="D65" i="2" s="1"/>
  <c r="D70" i="2" s="1"/>
  <c r="H59" i="2"/>
  <c r="F48" i="2"/>
  <c r="H48" i="2" s="1"/>
  <c r="F42" i="2"/>
  <c r="H42" i="2" s="1"/>
  <c r="F41" i="2"/>
  <c r="H41" i="2" s="1"/>
  <c r="F22" i="2"/>
  <c r="H22" i="2" s="1"/>
  <c r="F16" i="2"/>
  <c r="H16" i="2" s="1"/>
  <c r="F15" i="2"/>
  <c r="H15" i="2" s="1"/>
  <c r="F13" i="2"/>
  <c r="F57" i="2" l="1"/>
  <c r="F60" i="2" l="1"/>
  <c r="F62" i="2" s="1"/>
  <c r="F65" i="2" s="1"/>
  <c r="E58" i="2"/>
  <c r="H58" i="2" s="1"/>
  <c r="G68" i="2"/>
  <c r="G69" i="2" s="1"/>
  <c r="G70" i="2" s="1"/>
  <c r="G76" i="2" s="1"/>
  <c r="G78" i="2" s="1"/>
  <c r="G79" i="2" s="1"/>
  <c r="G80" i="2" s="1"/>
  <c r="H57" i="2"/>
  <c r="H13" i="2"/>
  <c r="E60" i="2" l="1"/>
  <c r="E62" i="2" s="1"/>
  <c r="E65" i="2" s="1"/>
  <c r="E70" i="2" s="1"/>
  <c r="E76" i="2" s="1"/>
  <c r="E78" i="2" s="1"/>
  <c r="E79" i="2" s="1"/>
  <c r="E80" i="2" s="1"/>
  <c r="H60" i="2"/>
  <c r="H62" i="2" s="1"/>
  <c r="H65" i="2" s="1"/>
  <c r="G82" i="2"/>
  <c r="G83" i="2" s="1"/>
  <c r="G84" i="2" s="1"/>
  <c r="H68" i="2"/>
  <c r="E82" i="2" l="1"/>
  <c r="E83" i="2" s="1"/>
  <c r="E84" i="2" s="1"/>
  <c r="H69" i="2"/>
  <c r="H70" i="2" s="1"/>
  <c r="F70" i="2"/>
  <c r="F76" i="2" l="1"/>
  <c r="F78" i="2" s="1"/>
  <c r="F79" i="2" s="1"/>
  <c r="F80" i="2" s="1"/>
  <c r="F82" i="2" l="1"/>
  <c r="F83" i="2" s="1"/>
  <c r="F84" i="2" s="1"/>
  <c r="H74" i="2"/>
  <c r="H75" i="2" s="1"/>
  <c r="H76" i="2" s="1"/>
  <c r="D75" i="2"/>
  <c r="D76" i="2" s="1"/>
  <c r="D78" i="2" s="1"/>
  <c r="H78" i="2" l="1"/>
  <c r="H79" i="2" s="1"/>
  <c r="H80" i="2" s="1"/>
  <c r="K80" i="2" s="1"/>
  <c r="D79" i="2"/>
  <c r="H82" i="2" l="1"/>
  <c r="H83" i="2" s="1"/>
  <c r="H84" i="2" s="1"/>
  <c r="D80" i="2"/>
  <c r="D82" i="2" s="1"/>
  <c r="D83" i="2" l="1"/>
  <c r="D84" i="2" s="1"/>
</calcChain>
</file>

<file path=xl/sharedStrings.xml><?xml version="1.0" encoding="utf-8"?>
<sst xmlns="http://schemas.openxmlformats.org/spreadsheetml/2006/main" count="176" uniqueCount="167">
  <si>
    <t>(наименование стройки)</t>
  </si>
  <si>
    <t>№ пп</t>
  </si>
  <si>
    <t>оборудования, мебели, инвентаря</t>
  </si>
  <si>
    <t>прочих</t>
  </si>
  <si>
    <t>Номера сметных расчетов и смет</t>
  </si>
  <si>
    <t>Наименование глав, объектов, работ и затрат</t>
  </si>
  <si>
    <t>Сметная стоимость, руб.</t>
  </si>
  <si>
    <t>Общая сметная стоимость, руб.</t>
  </si>
  <si>
    <t>Глава 2. Основные объекты строительства</t>
  </si>
  <si>
    <t>Итого по Главе 2. "Основные объекты строительства"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</si>
  <si>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</si>
  <si>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</si>
  <si>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</si>
  <si>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Итого по Главам 1-8</t>
  </si>
  <si>
    <t>Глава 9. Прочие работы и затраты</t>
  </si>
  <si>
    <t>Итого по Главе 9. "Прочие работы и затраты"</t>
  </si>
  <si>
    <t>Итого по Главам 1-9</t>
  </si>
  <si>
    <t>Глава 10. Содержание службы заказчика. Строительный контроль</t>
  </si>
  <si>
    <t>Итого по Главе 10. "Содержание службы заказчика. Строительный контроль"</t>
  </si>
  <si>
    <t>Глава 12. Публичный технологический и ценовой аудит, проектные и изыскательские работы</t>
  </si>
  <si>
    <t>Итого по Главе 12. "Публичный технологический и ценовой аудит, проектные и изыскательские работы"</t>
  </si>
  <si>
    <t>Итого по Главам 1-12</t>
  </si>
  <si>
    <t>Непредвиденные затраты</t>
  </si>
  <si>
    <t>МДС 81-35.2004 п.4.96</t>
  </si>
  <si>
    <t>Непредвиденные затраты для объектов производственного назначения - 1,5%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</si>
  <si>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</si>
  <si>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</si>
  <si>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</si>
  <si>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03.08.2018 п.3 ст.164 гл 21 НК РФ</t>
  </si>
  <si>
    <t>НДС - 20%</t>
  </si>
  <si>
    <t>Итого "Налоги и обязательные платежи"</t>
  </si>
  <si>
    <t>СВОДКА ЗАТРАТ</t>
  </si>
  <si>
    <t>Итого по сводке затрат</t>
  </si>
  <si>
    <t xml:space="preserve">Составлена в ценах по состоянию на  4 кв 2019 год </t>
  </si>
  <si>
    <t>по  Созданию сети связи ВОЛС от ПС 35/6 кВ Бархатная до ПС 110/35/6 кВ Находка</t>
  </si>
  <si>
    <t>ЦМО ШТК-М-42.6.8-1ААА</t>
  </si>
  <si>
    <t xml:space="preserve"> </t>
  </si>
  <si>
    <t>TLK-PCC10-030</t>
  </si>
  <si>
    <t>Кабель питания TLK, евровилка с заземлением, 10А, 3м</t>
  </si>
  <si>
    <t>Контроль</t>
  </si>
  <si>
    <t>Магистральное оборудование</t>
  </si>
  <si>
    <t>MES3308F</t>
  </si>
  <si>
    <t>MES3324</t>
  </si>
  <si>
    <t>EMS-MES-aggregation</t>
  </si>
  <si>
    <t>Опция EMS-MES-aggregation системы Eltex.EMS для управления и мониторинга сетевыми элементами Eltex: 1 сетевой элемент  MES-3000 или MES-5000</t>
  </si>
  <si>
    <t>PM160-220/12</t>
  </si>
  <si>
    <t>Eltex Модуль питания  220V AC, 160W</t>
  </si>
  <si>
    <t>PM100-48/12</t>
  </si>
  <si>
    <t>Eltex Модуль питания  48V DC, 100W</t>
  </si>
  <si>
    <t>Кабель подключения DC источника питания</t>
  </si>
  <si>
    <t>FlexCON-TDMoE-8E1B-SA, V3</t>
  </si>
  <si>
    <t>FG-ACE-VC-115-1</t>
  </si>
  <si>
    <t>Nateks VoiceCom115 - голосовой шлюз, 4xFXO, 1xWAN, 4xLAN Switch, SIP</t>
  </si>
  <si>
    <t>FG-ACE-VC-92-2,V2</t>
  </si>
  <si>
    <t>VoiceCom90 - голосовой шлюз, 2xFXS, 1xWAN + 1xLAN Ethernet порт, SIP</t>
  </si>
  <si>
    <t xml:space="preserve">Медиаконвертер: 1.25Gbps SFP слот, 1 порт Ethernet 10/100/1000Base-T  </t>
  </si>
  <si>
    <t>FH-SB5312CDL20</t>
  </si>
  <si>
    <t> SFP 1,25 GE модуль 20 км, SM, 1 волокно, TX/RX 1550/1310 LC, DDM</t>
  </si>
  <si>
    <t xml:space="preserve">FH-SB3512CDL20 </t>
  </si>
  <si>
    <t> SFP 1,25 GE модуль 20 км, SM, 1 волокно, TX/RX 1310/1550 LC, DDM</t>
  </si>
  <si>
    <t>FH-SB5312CDL40</t>
  </si>
  <si>
    <t> SFP 1,25 GE модуль 40 км, SM, 1 волокно, TX/RX 1550/1310 LC, DDM</t>
  </si>
  <si>
    <t>FH-SB3512CDL40</t>
  </si>
  <si>
    <t> SFP 1,25 GE модуль 40 км, SM, 1 волокно, TX/RX 1310/1550 LC, DDM</t>
  </si>
  <si>
    <t>FH-SB5412CDL80</t>
  </si>
  <si>
    <t>SFP 1,25 GE модуль 80 км, SM, 1 волокно, TX/RX 1550/1490 LC, DDM</t>
  </si>
  <si>
    <t>FH-SB4512CDL80</t>
  </si>
  <si>
    <t> SFP 1,25 GE модуль 80 км, SM, 1 волокно, TX/RX 1490/1550 LC, DDM</t>
  </si>
  <si>
    <t>FH-SB5412CDL120</t>
  </si>
  <si>
    <t>SFP 1,25 GE модуль 120 км, SM, 1 волокно, TX/RX 1550/1490 LC, DDM</t>
  </si>
  <si>
    <t>FH-SB4512CDL120</t>
  </si>
  <si>
    <t> SFP 1,25 GE модуль 120 км, SM, 1 волокно, TX/RX 1490/1550 LC, DDM</t>
  </si>
  <si>
    <t xml:space="preserve">Grandway VLS-8-30  </t>
  </si>
  <si>
    <t>Визулизатор повреждений оптического волокна Grandway VLS-8-30</t>
  </si>
  <si>
    <t>SM 9/125, FC/UPC-LC/UPC duplex, 2М</t>
  </si>
  <si>
    <t>Патч-корд волоконно-оптический (шнур) SM 9/125, FC-LC, duplex, LSZH, 2 м</t>
  </si>
  <si>
    <t>SM 9/125, FC/UPC-LC/UPC duplex, 15М</t>
  </si>
  <si>
    <t>Патч-корд волоконно-оптический (шнур) SM 9/125, FC-LC, duplex, LSZH, 5 м в гофре</t>
  </si>
  <si>
    <t>Патч-корд волоконно-оптический (шнур) SM 9/125, FC-LC, duplex, LSZH, 15 м в гофре</t>
  </si>
  <si>
    <t>SM 9/125, FC/UPC-FC/UPC duplex, 2М</t>
  </si>
  <si>
    <t>Патч-корд волоконно-оптический (шнур) SM 9/125, FC-FC, duplex, LSZH, 2 м</t>
  </si>
  <si>
    <t>Система управления + дооснащение Т7</t>
  </si>
  <si>
    <t>комплект ПК</t>
  </si>
  <si>
    <t xml:space="preserve"> VF4C-16</t>
  </si>
  <si>
    <t>CAB-VF4C</t>
  </si>
  <si>
    <t xml:space="preserve">Кабель VF4C-16 </t>
  </si>
  <si>
    <t xml:space="preserve">Tibbo DS-100 </t>
  </si>
  <si>
    <t xml:space="preserve">Конвертор интерфейса RS-232 COM TCP/IP Tibbo DS-100 </t>
  </si>
  <si>
    <t>ЦСП-30</t>
  </si>
  <si>
    <t>СН-01</t>
  </si>
  <si>
    <t>Плата  СН-01</t>
  </si>
  <si>
    <t>ИП-04</t>
  </si>
  <si>
    <t>ИП-03</t>
  </si>
  <si>
    <t>Плата  ИП-03</t>
  </si>
  <si>
    <t>КМ-10</t>
  </si>
  <si>
    <t>СВ-01</t>
  </si>
  <si>
    <t>Плата  СВ-01</t>
  </si>
  <si>
    <t>АС-03</t>
  </si>
  <si>
    <t>Плата АС-03</t>
  </si>
  <si>
    <t>АК-03</t>
  </si>
  <si>
    <t>Плата АК-03</t>
  </si>
  <si>
    <t>ВЕ-01</t>
  </si>
  <si>
    <t>Плата ВЕ-01</t>
  </si>
  <si>
    <t>Разъём RG-45 экранированный, категория 5е</t>
  </si>
  <si>
    <t>Кабель NIKOLAN F/UTP 4 пары, Кат.5e (Класс D), тест по ISO/IEC, 100МГц, одножильный, BC (чистая медь), 24AWG (0,50мм), внутренний, LSZH нг(А)-HFLTx, оранжевый, 305м - гарантия: 5 лет / 15 лет системная</t>
  </si>
  <si>
    <t>Шкафы телекоммуникационные  напольные 42 U  600х800</t>
  </si>
  <si>
    <t>Шкаф телекоммуникационный  19" напольный 42 U 600*800     4*51150/1,2</t>
  </si>
  <si>
    <t>Eltex MES3308F Агрегирующий  Ethernet-коммутатор уровня L3 , 4 порта 1000Base-X(SFP), 4 комбинированных порта 10/100/1000Base-T/1000Base-X(SFP), 4 порта 10GBase-X(SFP+), 2 слота для модулей питания    4*109357/1,2</t>
  </si>
  <si>
    <t>Eltex MES3324 Агрегирующий Ethernet-коммутатор, 20 портов 10/100/1000Base-T, 4 комбинированных порта 10/100/1000Base-T/1000Base-X(SFP), 4 порта 10GBase-X(SFP+), L2+, L3 слота для модулей питания    3*162000/1,2</t>
  </si>
  <si>
    <t>FC-TDMoE-8E1B-SA, V3 Модуль настольный для передачи 8xЕ1 потоков G.703,120 Ом через Ethernet сети   2*66444/1,2</t>
  </si>
  <si>
    <t>Автоматизированное локальное рабочее  место оператора    1*75000/1,2</t>
  </si>
  <si>
    <t>Блок VF4C-16 для 4-хпроводных СЛ, 16 портов   2*120000/1,2</t>
  </si>
  <si>
    <t>Плата  ИП-04  2*55463,3/1,2</t>
  </si>
  <si>
    <t>Плата КМ 10  3*84482,75/1,2</t>
  </si>
  <si>
    <t>стр. 136 КО-Инвест 2004 Выпуск 48</t>
  </si>
  <si>
    <t>Пусконаладочные работы
7% от стоимости оборудования</t>
  </si>
  <si>
    <t>СМР</t>
  </si>
  <si>
    <t>ПИР</t>
  </si>
  <si>
    <t xml:space="preserve"> КП  Энергетика Микроэлектроника автоматика
КО-Инвест 2004 Выпуск 48</t>
  </si>
  <si>
    <t>Итого стоимость оборудования и материалов</t>
  </si>
  <si>
    <t>Строительно-монтажные работы электротехническое оборудования  от стоимости оборудования:
СМР - 114%</t>
  </si>
  <si>
    <t>Прокладка ВОК</t>
  </si>
  <si>
    <t>Прочие (зимнее удорожание и т.д.)</t>
  </si>
  <si>
    <t>Сметный расчет стоимости 
на Создание сети связи ВОЛС от ПС 35/6 кВ Бархатная до ПС 110/35/6 кВ Находка</t>
  </si>
  <si>
    <t>Расчет произведен согласно сборнику укрупненных  показателей стоимости строительства (реконструкции) подстанций и линий электропередач для нужд ОАО "Холдинг МРСК", 2012 г..</t>
  </si>
  <si>
    <t>Перевод в текущие  цены, 4 квартал 2019г.,осуществлен с учетом индексов, указанных в письмах Минстроя России  №46999-ДВ/09 от 09.12.2019 г., №50583-ДВ/09 от 25.12.2019</t>
  </si>
  <si>
    <t xml:space="preserve">          В расчете стоимости ПИР учтена стадия РД.</t>
  </si>
  <si>
    <t>Подвеска ВОЛС по опорам ВЛ 35 кВ от ПС 35/6 кВ Бархатная до ПС 110/35/6 кВ Находка</t>
  </si>
  <si>
    <t>№ п.п.</t>
  </si>
  <si>
    <t>Наименование</t>
  </si>
  <si>
    <t>Обоснование</t>
  </si>
  <si>
    <t>Цена за ед. объема работ, в ценах 2001г,  тыс.руб.</t>
  </si>
  <si>
    <t>Объем работ</t>
  </si>
  <si>
    <t>Коэффициенты, учитывающие лимитированные затраты, условия производства работ, прочие затраты и т.д.</t>
  </si>
  <si>
    <t>Стоимость в ценах 2001 г, тыс.руб.</t>
  </si>
  <si>
    <t>Стоимость в ценах 4 кв. 2019 г. с учетом ДВ*, руб.</t>
  </si>
  <si>
    <t>Всего, руб.</t>
  </si>
  <si>
    <t>СМР, руб.</t>
  </si>
  <si>
    <t>Оборудование, приспособления и производственный инвентарь, руб.</t>
  </si>
  <si>
    <t>ПНР, руб.</t>
  </si>
  <si>
    <t>ПИР, руб.</t>
  </si>
  <si>
    <t>Прочие, руб.</t>
  </si>
  <si>
    <t xml:space="preserve">        Раздел 1. Монтажные работы</t>
  </si>
  <si>
    <t>Подвеска ВОЛС на ВЛ 35 кВ, 1 кабель на опоре</t>
  </si>
  <si>
    <t>табл. 5</t>
  </si>
  <si>
    <t>Итого по разделу 1</t>
  </si>
  <si>
    <t>Итого</t>
  </si>
  <si>
    <t>НДС 20%</t>
  </si>
  <si>
    <t>ВСЕГО по расчету</t>
  </si>
  <si>
    <t>Примечания:</t>
  </si>
  <si>
    <t>* К=1,09 - коэффициент,  учитывающий регионально-климатические условия осуществления объектов энергетического строительства, согласно Приложение №2 к  сборнику укрупненных  показателей стоимости строительства(реконструкции) подстанций и линий электропередач для нужд ОАО "Холдинг МРСК", 2012 г..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</si>
  <si>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</si>
  <si>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Коэффициенты, учитывающие лимитированные затраты, условия производства работ, прочие затраты и т.д.:</t>
  </si>
  <si>
    <t>Для воздушных линий:</t>
  </si>
  <si>
    <t>1.1.</t>
  </si>
  <si>
    <t>по п.2.7:</t>
  </si>
  <si>
    <t>-</t>
  </si>
  <si>
    <t>7,5-9,0% - проектно-изыскательские работы и авторский надзор;</t>
  </si>
  <si>
    <t>5,0-8,0% - прочие работы и затраты;</t>
  </si>
  <si>
    <t>3.2.</t>
  </si>
  <si>
    <t>по п.2.9:</t>
  </si>
  <si>
    <t>1,018 - строительство вблизи объектов, находящихся под высоким напряжением, в т.ч. в охранной зоне действующей воздушной линии электропередач.</t>
  </si>
  <si>
    <t>1,12 - коэффициент,  учитывающий изменение конструктивных решений, проводов, кабелей и оборудования более 50%</t>
  </si>
  <si>
    <t xml:space="preserve">Разработка рабочей документации </t>
  </si>
  <si>
    <t>Расчет МРСК</t>
  </si>
  <si>
    <t>1,5% - непредвиденные затраты (при согласовании с заказчиком до 10%)</t>
  </si>
  <si>
    <r>
      <t>К</t>
    </r>
    <r>
      <rPr>
        <sz val="8"/>
        <color theme="1"/>
        <rFont val="Times New Roman"/>
        <family val="1"/>
        <charset val="204"/>
      </rPr>
      <t>рек</t>
    </r>
    <r>
      <rPr>
        <sz val="9"/>
        <color theme="1"/>
        <rFont val="Times New Roman"/>
        <family val="1"/>
        <charset val="204"/>
      </rPr>
      <t>=((7,5+8+1,5)/100+1)*1,018*1,12=1,334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</si>
</sst>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₽&quot;_-;\-* #,##0.00\ &quot;₽&quot;_-;_-* &quot;-&quot;??\ &quot;₽&quot;_-;_-@_-"/>
    <numFmt numFmtId="164" formatCode="_-* #,##0.00\ _₽_-;\-* #,##0.00\ _₽_-;_-* &quot;-&quot;??\ _₽_-;_-@_-"/>
    <numFmt numFmtId="165" formatCode="0.000"/>
  </numFmts>
  <fonts count="3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Arial Cyr"/>
      <family val="2"/>
      <charset val="204"/>
    </font>
    <font>
      <sz val="9"/>
      <name val="Arial"/>
      <family val="2"/>
      <charset val="204"/>
    </font>
    <font>
      <sz val="12"/>
      <color theme="1"/>
      <name val="Times New Roman"/>
      <family val="2"/>
      <charset val="204"/>
    </font>
    <font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 Cyr"/>
      <family val="1"/>
      <charset val="204"/>
    </font>
    <font>
      <b/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i/>
      <sz val="9"/>
      <color theme="1"/>
      <name val="Arial Cyr"/>
      <family val="2"/>
      <charset val="204"/>
    </font>
    <font>
      <sz val="8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2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2">
    <xf numFmtId="0" fontId="0" fillId="0" borderId="0"/>
    <xf numFmtId="0" fontId="5" fillId="0" borderId="0"/>
    <xf numFmtId="0" fontId="3" fillId="0" borderId="0"/>
    <xf numFmtId="0" fontId="4" fillId="0" borderId="0"/>
    <xf numFmtId="0" fontId="5" fillId="0" borderId="0"/>
    <xf numFmtId="0" fontId="7" fillId="0" borderId="0"/>
    <xf numFmtId="164" fontId="5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2" fillId="0" borderId="0"/>
    <xf numFmtId="0" fontId="3" fillId="0" borderId="0"/>
    <xf numFmtId="0" fontId="4" fillId="0" borderId="0"/>
    <xf numFmtId="0" fontId="12" fillId="3" borderId="2" applyNumberFormat="0">
      <alignment vertical="top" wrapText="1"/>
    </xf>
    <xf numFmtId="0" fontId="3" fillId="0" borderId="0"/>
    <xf numFmtId="0" fontId="1" fillId="0" borderId="0"/>
    <xf numFmtId="0" fontId="5" fillId="0" borderId="0"/>
  </cellStyleXfs>
  <cellXfs count="123">
    <xf numFmtId="0" fontId="0" fillId="0" borderId="0" xfId="0"/>
    <xf numFmtId="0" fontId="3" fillId="0" borderId="0" xfId="0" applyFont="1" applyAlignment="1">
      <alignment horizontal="center" vertical="top"/>
    </xf>
    <xf numFmtId="49" fontId="3" fillId="0" borderId="0" xfId="0" applyNumberFormat="1" applyFont="1" applyAlignment="1">
      <alignment horizontal="left" vertical="top"/>
    </xf>
    <xf numFmtId="0" fontId="3" fillId="0" borderId="0" xfId="0" applyFont="1"/>
    <xf numFmtId="0" fontId="3" fillId="0" borderId="0" xfId="0" applyFont="1" applyAlignment="1">
      <alignment horizontal="right" vertical="top"/>
    </xf>
    <xf numFmtId="0" fontId="0" fillId="0" borderId="0" xfId="0"/>
    <xf numFmtId="49" fontId="6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right" vertical="top"/>
    </xf>
    <xf numFmtId="0" fontId="3" fillId="0" borderId="0" xfId="0" applyFont="1" applyAlignment="1">
      <alignment vertical="top"/>
    </xf>
    <xf numFmtId="0" fontId="8" fillId="0" borderId="0" xfId="3" applyFont="1" applyAlignment="1">
      <alignment vertical="top"/>
    </xf>
    <xf numFmtId="0" fontId="9" fillId="0" borderId="0" xfId="4" applyFont="1" applyAlignment="1">
      <alignment vertical="top"/>
    </xf>
    <xf numFmtId="0" fontId="10" fillId="0" borderId="0" xfId="4" applyFont="1" applyAlignment="1">
      <alignment vertical="top"/>
    </xf>
    <xf numFmtId="49" fontId="10" fillId="2" borderId="4" xfId="0" applyNumberFormat="1" applyFont="1" applyFill="1" applyBorder="1" applyAlignment="1">
      <alignment vertical="center" wrapText="1"/>
    </xf>
    <xf numFmtId="4" fontId="3" fillId="4" borderId="2" xfId="0" applyNumberFormat="1" applyFont="1" applyFill="1" applyBorder="1" applyAlignment="1">
      <alignment horizontal="right" vertical="top" wrapText="1"/>
    </xf>
    <xf numFmtId="49" fontId="10" fillId="0" borderId="4" xfId="0" applyNumberFormat="1" applyFont="1" applyFill="1" applyBorder="1" applyAlignment="1">
      <alignment vertical="center" wrapText="1"/>
    </xf>
    <xf numFmtId="4" fontId="3" fillId="0" borderId="0" xfId="0" applyNumberFormat="1" applyFont="1"/>
    <xf numFmtId="4" fontId="11" fillId="5" borderId="2" xfId="0" applyNumberFormat="1" applyFont="1" applyFill="1" applyBorder="1" applyAlignment="1">
      <alignment horizontal="right" vertical="top" wrapText="1"/>
    </xf>
    <xf numFmtId="4" fontId="11" fillId="0" borderId="2" xfId="0" applyNumberFormat="1" applyFont="1" applyBorder="1" applyAlignment="1">
      <alignment horizontal="right" vertical="top" wrapText="1"/>
    </xf>
    <xf numFmtId="49" fontId="10" fillId="0" borderId="4" xfId="0" applyNumberFormat="1" applyFont="1" applyFill="1" applyBorder="1" applyAlignment="1">
      <alignment vertical="top" wrapText="1"/>
    </xf>
    <xf numFmtId="0" fontId="11" fillId="0" borderId="0" xfId="0" applyFont="1" applyAlignment="1">
      <alignment horizontal="center" vertical="top"/>
    </xf>
    <xf numFmtId="49" fontId="11" fillId="0" borderId="0" xfId="0" applyNumberFormat="1" applyFont="1" applyAlignment="1">
      <alignment horizontal="left" vertical="top"/>
    </xf>
    <xf numFmtId="0" fontId="11" fillId="0" borderId="0" xfId="0" applyFont="1" applyAlignment="1">
      <alignment horizontal="right" vertical="top"/>
    </xf>
    <xf numFmtId="4" fontId="13" fillId="0" borderId="2" xfId="0" applyNumberFormat="1" applyFont="1" applyBorder="1" applyAlignment="1">
      <alignment horizontal="right" vertical="top" wrapText="1"/>
    </xf>
    <xf numFmtId="0" fontId="15" fillId="0" borderId="0" xfId="0" applyFont="1"/>
    <xf numFmtId="0" fontId="15" fillId="0" borderId="0" xfId="0" applyFont="1" applyAlignment="1">
      <alignment horizontal="center"/>
    </xf>
    <xf numFmtId="0" fontId="16" fillId="0" borderId="0" xfId="17" applyFont="1" applyAlignment="1"/>
    <xf numFmtId="0" fontId="8" fillId="0" borderId="0" xfId="0" applyFont="1"/>
    <xf numFmtId="0" fontId="16" fillId="0" borderId="0" xfId="0" applyFont="1" applyAlignment="1">
      <alignment horizontal="left"/>
    </xf>
    <xf numFmtId="0" fontId="17" fillId="0" borderId="0" xfId="0" applyFont="1" applyAlignment="1">
      <alignment horizontal="right"/>
    </xf>
    <xf numFmtId="0" fontId="18" fillId="0" borderId="0" xfId="0" applyFont="1" applyAlignment="1">
      <alignment horizontal="left"/>
    </xf>
    <xf numFmtId="0" fontId="17" fillId="0" borderId="0" xfId="0" applyFont="1"/>
    <xf numFmtId="0" fontId="15" fillId="2" borderId="2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vertical="center" wrapText="1"/>
    </xf>
    <xf numFmtId="4" fontId="15" fillId="2" borderId="2" xfId="0" applyNumberFormat="1" applyFont="1" applyFill="1" applyBorder="1" applyAlignment="1">
      <alignment horizontal="center" vertical="center"/>
    </xf>
    <xf numFmtId="165" fontId="15" fillId="2" borderId="2" xfId="0" applyNumberFormat="1" applyFont="1" applyFill="1" applyBorder="1" applyAlignment="1">
      <alignment horizontal="center" vertical="center"/>
    </xf>
    <xf numFmtId="4" fontId="21" fillId="2" borderId="2" xfId="0" applyNumberFormat="1" applyFont="1" applyFill="1" applyBorder="1" applyAlignment="1">
      <alignment horizontal="center" vertical="center"/>
    </xf>
    <xf numFmtId="4" fontId="22" fillId="2" borderId="2" xfId="0" applyNumberFormat="1" applyFont="1" applyFill="1" applyBorder="1" applyAlignment="1">
      <alignment horizontal="center" vertical="center"/>
    </xf>
    <xf numFmtId="0" fontId="22" fillId="0" borderId="0" xfId="0" applyFont="1" applyBorder="1" applyAlignment="1">
      <alignment horizontal="left" vertical="center" wrapText="1"/>
    </xf>
    <xf numFmtId="4" fontId="22" fillId="0" borderId="0" xfId="0" applyNumberFormat="1" applyFont="1" applyBorder="1" applyAlignment="1">
      <alignment horizontal="center" vertical="center"/>
    </xf>
    <xf numFmtId="0" fontId="19" fillId="0" borderId="0" xfId="0" applyFont="1"/>
    <xf numFmtId="0" fontId="25" fillId="0" borderId="0" xfId="0" applyFont="1"/>
    <xf numFmtId="0" fontId="26" fillId="0" borderId="0" xfId="0" applyFont="1" applyAlignment="1">
      <alignment horizontal="right"/>
    </xf>
    <xf numFmtId="0" fontId="26" fillId="0" borderId="0" xfId="0" applyFont="1"/>
    <xf numFmtId="0" fontId="19" fillId="0" borderId="0" xfId="0" applyFont="1" applyAlignment="1">
      <alignment horizontal="right"/>
    </xf>
    <xf numFmtId="49" fontId="19" fillId="0" borderId="0" xfId="0" applyNumberFormat="1" applyFont="1" applyAlignment="1">
      <alignment horizontal="right" vertical="center"/>
    </xf>
    <xf numFmtId="49" fontId="19" fillId="0" borderId="0" xfId="20" applyNumberFormat="1" applyFont="1" applyAlignment="1">
      <alignment horizontal="right" vertical="center"/>
    </xf>
    <xf numFmtId="0" fontId="19" fillId="0" borderId="0" xfId="21" applyFont="1"/>
    <xf numFmtId="0" fontId="15" fillId="0" borderId="0" xfId="21" applyFont="1"/>
    <xf numFmtId="0" fontId="15" fillId="0" borderId="0" xfId="20" applyFont="1"/>
    <xf numFmtId="0" fontId="17" fillId="0" borderId="0" xfId="20" applyFont="1"/>
    <xf numFmtId="4" fontId="0" fillId="0" borderId="0" xfId="0" applyNumberFormat="1"/>
    <xf numFmtId="0" fontId="8" fillId="0" borderId="2" xfId="0" applyFont="1" applyFill="1" applyBorder="1" applyAlignment="1">
      <alignment vertical="center" wrapText="1"/>
    </xf>
    <xf numFmtId="49" fontId="10" fillId="0" borderId="2" xfId="0" applyNumberFormat="1" applyFont="1" applyFill="1" applyBorder="1" applyAlignment="1">
      <alignment vertical="center" wrapText="1"/>
    </xf>
    <xf numFmtId="0" fontId="10" fillId="0" borderId="0" xfId="0" applyFont="1" applyAlignment="1">
      <alignment horizontal="center" vertical="top"/>
    </xf>
    <xf numFmtId="0" fontId="27" fillId="0" borderId="0" xfId="0" applyFont="1" applyAlignment="1">
      <alignment vertical="top"/>
    </xf>
    <xf numFmtId="0" fontId="28" fillId="0" borderId="0" xfId="0" applyFont="1" applyAlignment="1">
      <alignment horizontal="center" vertical="top"/>
    </xf>
    <xf numFmtId="0" fontId="28" fillId="0" borderId="0" xfId="0" applyFont="1" applyAlignment="1">
      <alignment horizontal="right" vertical="top"/>
    </xf>
    <xf numFmtId="2" fontId="29" fillId="0" borderId="0" xfId="3" applyNumberFormat="1" applyFont="1" applyAlignment="1">
      <alignment vertical="top" wrapText="1"/>
    </xf>
    <xf numFmtId="0" fontId="29" fillId="0" borderId="0" xfId="3" applyFont="1" applyAlignment="1">
      <alignment vertical="top"/>
    </xf>
    <xf numFmtId="0" fontId="11" fillId="0" borderId="0" xfId="0" applyFont="1"/>
    <xf numFmtId="0" fontId="11" fillId="0" borderId="0" xfId="0" applyFont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28" fillId="0" borderId="0" xfId="0" applyFont="1"/>
    <xf numFmtId="0" fontId="10" fillId="0" borderId="0" xfId="0" applyFont="1"/>
    <xf numFmtId="49" fontId="10" fillId="0" borderId="0" xfId="0" applyNumberFormat="1" applyFont="1" applyAlignment="1">
      <alignment horizontal="left" vertical="top"/>
    </xf>
    <xf numFmtId="4" fontId="10" fillId="0" borderId="0" xfId="0" applyNumberFormat="1" applyFont="1" applyFill="1" applyAlignment="1">
      <alignment horizontal="right" vertical="center"/>
    </xf>
    <xf numFmtId="0" fontId="10" fillId="0" borderId="0" xfId="0" applyFont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49" fontId="10" fillId="0" borderId="3" xfId="0" applyNumberFormat="1" applyFont="1" applyBorder="1" applyAlignment="1">
      <alignment horizontal="center" vertical="center"/>
    </xf>
    <xf numFmtId="0" fontId="32" fillId="0" borderId="2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0" fontId="32" fillId="0" borderId="4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2" xfId="0" applyFont="1" applyFill="1" applyBorder="1" applyAlignment="1">
      <alignment horizontal="right" vertical="top"/>
    </xf>
    <xf numFmtId="4" fontId="10" fillId="0" borderId="2" xfId="0" applyNumberFormat="1" applyFont="1" applyFill="1" applyBorder="1" applyAlignment="1">
      <alignment horizontal="right" vertical="top" wrapText="1"/>
    </xf>
    <xf numFmtId="0" fontId="10" fillId="0" borderId="2" xfId="0" applyFont="1" applyBorder="1" applyAlignment="1">
      <alignment horizontal="right" vertical="top"/>
    </xf>
    <xf numFmtId="4" fontId="10" fillId="0" borderId="2" xfId="0" applyNumberFormat="1" applyFont="1" applyBorder="1" applyAlignment="1">
      <alignment horizontal="right" vertical="top" wrapText="1"/>
    </xf>
    <xf numFmtId="49" fontId="10" fillId="0" borderId="2" xfId="0" applyNumberFormat="1" applyFont="1" applyFill="1" applyBorder="1" applyAlignment="1">
      <alignment horizontal="left" vertical="top" wrapText="1"/>
    </xf>
    <xf numFmtId="49" fontId="32" fillId="0" borderId="2" xfId="0" applyNumberFormat="1" applyFont="1" applyFill="1" applyBorder="1" applyAlignment="1">
      <alignment horizontal="left" vertical="top" wrapText="1"/>
    </xf>
    <xf numFmtId="0" fontId="32" fillId="0" borderId="2" xfId="0" applyFont="1" applyBorder="1" applyAlignment="1">
      <alignment horizontal="right" vertical="top"/>
    </xf>
    <xf numFmtId="4" fontId="32" fillId="0" borderId="2" xfId="0" applyNumberFormat="1" applyFont="1" applyBorder="1" applyAlignment="1">
      <alignment horizontal="right" vertical="top" wrapText="1"/>
    </xf>
    <xf numFmtId="49" fontId="10" fillId="0" borderId="2" xfId="0" applyNumberFormat="1" applyFont="1" applyBorder="1" applyAlignment="1">
      <alignment horizontal="left" vertical="top" wrapText="1"/>
    </xf>
    <xf numFmtId="0" fontId="10" fillId="0" borderId="2" xfId="0" applyFont="1" applyBorder="1" applyAlignment="1">
      <alignment horizontal="center" vertical="top"/>
    </xf>
    <xf numFmtId="0" fontId="10" fillId="0" borderId="2" xfId="0" applyFont="1" applyFill="1" applyBorder="1" applyAlignment="1">
      <alignment horizontal="left" vertical="top" wrapText="1"/>
    </xf>
    <xf numFmtId="4" fontId="10" fillId="0" borderId="2" xfId="0" applyNumberFormat="1" applyFont="1" applyBorder="1" applyAlignment="1">
      <alignment vertical="top" wrapText="1"/>
    </xf>
    <xf numFmtId="4" fontId="10" fillId="0" borderId="2" xfId="0" applyNumberFormat="1" applyFont="1" applyBorder="1" applyAlignment="1">
      <alignment vertical="top"/>
    </xf>
    <xf numFmtId="4" fontId="10" fillId="0" borderId="2" xfId="0" applyNumberFormat="1" applyFont="1" applyFill="1" applyBorder="1" applyAlignment="1">
      <alignment vertical="top" wrapText="1"/>
    </xf>
    <xf numFmtId="4" fontId="10" fillId="0" borderId="2" xfId="0" applyNumberFormat="1" applyFont="1" applyBorder="1" applyAlignment="1">
      <alignment horizontal="right" vertical="top"/>
    </xf>
    <xf numFmtId="4" fontId="32" fillId="0" borderId="2" xfId="0" applyNumberFormat="1" applyFont="1" applyBorder="1" applyAlignment="1">
      <alignment horizontal="right" vertical="top"/>
    </xf>
    <xf numFmtId="0" fontId="29" fillId="0" borderId="0" xfId="0" applyFont="1"/>
    <xf numFmtId="0" fontId="29" fillId="0" borderId="0" xfId="0" applyFont="1" applyAlignment="1">
      <alignment vertical="top"/>
    </xf>
    <xf numFmtId="49" fontId="32" fillId="0" borderId="2" xfId="0" applyNumberFormat="1" applyFont="1" applyBorder="1" applyAlignment="1">
      <alignment horizontal="right" vertical="top" wrapText="1"/>
    </xf>
    <xf numFmtId="0" fontId="10" fillId="0" borderId="2" xfId="0" applyFont="1" applyBorder="1" applyAlignment="1">
      <alignment vertical="top" wrapText="1"/>
    </xf>
    <xf numFmtId="0" fontId="10" fillId="0" borderId="2" xfId="0" applyFont="1" applyBorder="1" applyAlignment="1">
      <alignment horizontal="center" vertical="center" wrapText="1"/>
    </xf>
    <xf numFmtId="2" fontId="8" fillId="0" borderId="0" xfId="3" applyNumberFormat="1" applyFont="1" applyAlignment="1">
      <alignment vertical="top" wrapText="1"/>
    </xf>
    <xf numFmtId="0" fontId="10" fillId="0" borderId="0" xfId="0" applyFont="1" applyAlignment="1">
      <alignment vertical="top"/>
    </xf>
    <xf numFmtId="2" fontId="29" fillId="0" borderId="0" xfId="3" applyNumberFormat="1" applyFont="1" applyAlignment="1">
      <alignment horizontal="left" vertical="top" wrapText="1"/>
    </xf>
    <xf numFmtId="49" fontId="10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32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30" fillId="0" borderId="0" xfId="0" applyFont="1" applyAlignment="1">
      <alignment horizontal="center" vertical="center"/>
    </xf>
    <xf numFmtId="0" fontId="11" fillId="0" borderId="0" xfId="0" applyFont="1" applyAlignment="1"/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4" fillId="0" borderId="0" xfId="0" applyFont="1" applyAlignment="1">
      <alignment horizontal="center" wrapText="1"/>
    </xf>
    <xf numFmtId="0" fontId="14" fillId="0" borderId="0" xfId="0" applyFont="1" applyAlignment="1">
      <alignment horizontal="center"/>
    </xf>
    <xf numFmtId="0" fontId="16" fillId="0" borderId="0" xfId="19" applyFont="1" applyAlignment="1">
      <alignment horizontal="left" vertical="top" wrapText="1"/>
    </xf>
    <xf numFmtId="0" fontId="9" fillId="0" borderId="0" xfId="0" applyFont="1" applyFill="1" applyAlignment="1">
      <alignment horizontal="left"/>
    </xf>
    <xf numFmtId="0" fontId="15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vertical="center" wrapText="1"/>
    </xf>
    <xf numFmtId="0" fontId="22" fillId="2" borderId="2" xfId="0" applyFont="1" applyFill="1" applyBorder="1" applyAlignment="1">
      <alignment horizontal="left" vertical="center" wrapText="1"/>
    </xf>
    <xf numFmtId="0" fontId="23" fillId="0" borderId="0" xfId="0" applyFont="1" applyAlignment="1">
      <alignment vertical="top" wrapText="1"/>
    </xf>
    <xf numFmtId="0" fontId="24" fillId="0" borderId="0" xfId="0" applyFont="1" applyAlignment="1">
      <alignment vertical="top" wrapText="1"/>
    </xf>
    <xf numFmtId="0" fontId="15" fillId="2" borderId="3" xfId="0" applyFont="1" applyFill="1" applyBorder="1" applyAlignment="1">
      <alignment horizontal="center" vertical="center"/>
    </xf>
    <xf numFmtId="0" fontId="15" fillId="2" borderId="5" xfId="0" applyFont="1" applyFill="1" applyBorder="1" applyAlignment="1">
      <alignment horizontal="center" vertical="center"/>
    </xf>
    <xf numFmtId="0" fontId="20" fillId="2" borderId="6" xfId="0" applyFont="1" applyFill="1" applyBorder="1" applyAlignment="1">
      <alignment horizontal="left"/>
    </xf>
    <xf numFmtId="0" fontId="20" fillId="2" borderId="7" xfId="0" applyFont="1" applyFill="1" applyBorder="1" applyAlignment="1">
      <alignment horizontal="left"/>
    </xf>
    <xf numFmtId="0" fontId="20" fillId="2" borderId="4" xfId="0" applyFont="1" applyFill="1" applyBorder="1" applyAlignment="1">
      <alignment horizontal="left"/>
    </xf>
    <xf numFmtId="0" fontId="21" fillId="2" borderId="2" xfId="0" applyFont="1" applyFill="1" applyBorder="1" applyAlignment="1">
      <alignment horizontal="left" vertical="center" wrapText="1"/>
    </xf>
  </cellXfs>
  <cellStyles count="22">
    <cellStyle name="Денежный 2" xfId="10"/>
    <cellStyle name="Обычный" xfId="0" builtinId="0"/>
    <cellStyle name="Обычный 2" xfId="5"/>
    <cellStyle name="Обычный 2 2" xfId="15"/>
    <cellStyle name="Обычный 2 3" xfId="4"/>
    <cellStyle name="Обычный 3" xfId="7"/>
    <cellStyle name="Обычный 3 2" xfId="2"/>
    <cellStyle name="Обычный 3 2 2 2" xfId="19"/>
    <cellStyle name="Обычный 3 2 2 4" xfId="20"/>
    <cellStyle name="Обычный 3 3" xfId="9"/>
    <cellStyle name="Обычный 3 3 4" xfId="17"/>
    <cellStyle name="Обычный 3 4" xfId="12"/>
    <cellStyle name="Обычный 3 5" xfId="3"/>
    <cellStyle name="Обычный 3 5 2" xfId="8"/>
    <cellStyle name="Обычный 3 5 2 2" xfId="14"/>
    <cellStyle name="Обычный 3 5 3" xfId="13"/>
    <cellStyle name="Обычный 4" xfId="1"/>
    <cellStyle name="Обычный 5" xfId="16"/>
    <cellStyle name="Обычный 6 3" xfId="21"/>
    <cellStyle name="СоставТК" xfId="18"/>
    <cellStyle name="Финансовый 12" xfId="6"/>
    <cellStyle name="Финансовый 2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M94"/>
  <sheetViews>
    <sheetView showGridLines="0" tabSelected="1" view="pageBreakPreview" zoomScaleNormal="100" zoomScaleSheetLayoutView="100" workbookViewId="0">
      <selection activeCell="D93" sqref="D93"/>
    </sheetView>
  </sheetViews>
  <sheetFormatPr defaultColWidth="9.109375" defaultRowHeight="13.2" x14ac:dyDescent="0.25"/>
  <cols>
    <col min="1" max="1" width="5" style="1" customWidth="1"/>
    <col min="2" max="2" width="24.88671875" style="2" customWidth="1"/>
    <col min="3" max="3" width="70.44140625" style="2" customWidth="1"/>
    <col min="4" max="8" width="15.88671875" style="4" customWidth="1"/>
    <col min="9" max="9" width="9.109375" style="3"/>
    <col min="10" max="10" width="13" style="3" hidden="1" customWidth="1"/>
    <col min="11" max="11" width="15.5546875" style="3" hidden="1" customWidth="1"/>
    <col min="12" max="12" width="14.33203125" style="3" hidden="1" customWidth="1"/>
    <col min="13" max="16384" width="9.109375" style="3"/>
  </cols>
  <sheetData>
    <row r="1" spans="1:12" ht="15.6" x14ac:dyDescent="0.25">
      <c r="A1" s="60"/>
      <c r="B1" s="60"/>
      <c r="C1" s="103" t="s">
        <v>31</v>
      </c>
      <c r="D1" s="104"/>
      <c r="E1" s="104"/>
      <c r="F1" s="104"/>
      <c r="G1" s="61"/>
      <c r="H1" s="61"/>
    </row>
    <row r="2" spans="1:12" ht="29.25" customHeight="1" x14ac:dyDescent="0.25">
      <c r="A2" s="60"/>
      <c r="B2" s="60"/>
      <c r="C2" s="105" t="s">
        <v>34</v>
      </c>
      <c r="D2" s="106"/>
      <c r="E2" s="106"/>
      <c r="F2" s="106"/>
      <c r="G2" s="106"/>
      <c r="H2" s="61"/>
    </row>
    <row r="3" spans="1:12" x14ac:dyDescent="0.25">
      <c r="A3" s="60"/>
      <c r="B3" s="60"/>
      <c r="C3" s="60"/>
      <c r="D3" s="62" t="s">
        <v>0</v>
      </c>
      <c r="E3" s="60"/>
      <c r="F3" s="61"/>
      <c r="G3" s="61"/>
      <c r="H3" s="61"/>
    </row>
    <row r="4" spans="1:12" ht="13.8" x14ac:dyDescent="0.25">
      <c r="A4" s="64"/>
      <c r="B4" s="65" t="s">
        <v>33</v>
      </c>
      <c r="C4" s="64"/>
      <c r="D4" s="66"/>
      <c r="E4" s="67"/>
      <c r="F4" s="67"/>
      <c r="G4" s="67"/>
      <c r="H4" s="67"/>
    </row>
    <row r="5" spans="1:12" ht="13.8" x14ac:dyDescent="0.25">
      <c r="A5" s="54"/>
      <c r="B5" s="65"/>
      <c r="C5" s="65"/>
      <c r="D5" s="67"/>
      <c r="E5" s="67"/>
      <c r="F5" s="67"/>
      <c r="G5" s="67"/>
      <c r="H5" s="67"/>
    </row>
    <row r="6" spans="1:12" ht="12.75" customHeight="1" x14ac:dyDescent="0.25">
      <c r="A6" s="95" t="s">
        <v>1</v>
      </c>
      <c r="B6" s="99" t="s">
        <v>4</v>
      </c>
      <c r="C6" s="99" t="s">
        <v>5</v>
      </c>
      <c r="D6" s="100" t="s">
        <v>6</v>
      </c>
      <c r="E6" s="100"/>
      <c r="F6" s="100"/>
      <c r="G6" s="100"/>
      <c r="H6" s="95" t="s">
        <v>7</v>
      </c>
    </row>
    <row r="7" spans="1:12" x14ac:dyDescent="0.25">
      <c r="A7" s="95"/>
      <c r="B7" s="99"/>
      <c r="C7" s="99"/>
      <c r="D7" s="95" t="s">
        <v>117</v>
      </c>
      <c r="E7" s="95" t="s">
        <v>116</v>
      </c>
      <c r="F7" s="95" t="s">
        <v>2</v>
      </c>
      <c r="G7" s="95" t="s">
        <v>3</v>
      </c>
      <c r="H7" s="95"/>
    </row>
    <row r="8" spans="1:12" x14ac:dyDescent="0.25">
      <c r="A8" s="95"/>
      <c r="B8" s="99"/>
      <c r="C8" s="99"/>
      <c r="D8" s="95"/>
      <c r="E8" s="95"/>
      <c r="F8" s="95"/>
      <c r="G8" s="95"/>
      <c r="H8" s="95"/>
    </row>
    <row r="9" spans="1:12" ht="16.5" customHeight="1" x14ac:dyDescent="0.25">
      <c r="A9" s="95"/>
      <c r="B9" s="99"/>
      <c r="C9" s="99"/>
      <c r="D9" s="95"/>
      <c r="E9" s="95"/>
      <c r="F9" s="95"/>
      <c r="G9" s="95"/>
      <c r="H9" s="95"/>
    </row>
    <row r="10" spans="1:12" ht="13.8" x14ac:dyDescent="0.25">
      <c r="A10" s="68">
        <v>1</v>
      </c>
      <c r="B10" s="69">
        <v>2</v>
      </c>
      <c r="C10" s="69">
        <v>3</v>
      </c>
      <c r="D10" s="68">
        <v>4</v>
      </c>
      <c r="E10" s="68">
        <v>5</v>
      </c>
      <c r="F10" s="68">
        <v>6</v>
      </c>
      <c r="G10" s="68">
        <v>7</v>
      </c>
      <c r="H10" s="68">
        <v>8</v>
      </c>
    </row>
    <row r="11" spans="1:12" ht="13.8" x14ac:dyDescent="0.25">
      <c r="A11" s="101" t="s">
        <v>8</v>
      </c>
      <c r="B11" s="102"/>
      <c r="C11" s="102"/>
      <c r="D11" s="102"/>
      <c r="E11" s="102"/>
      <c r="F11" s="102"/>
      <c r="G11" s="102"/>
      <c r="H11" s="102"/>
    </row>
    <row r="12" spans="1:12" ht="13.8" x14ac:dyDescent="0.25">
      <c r="A12" s="70"/>
      <c r="B12" s="71"/>
      <c r="C12" s="72" t="s">
        <v>105</v>
      </c>
      <c r="D12" s="73"/>
      <c r="E12" s="73"/>
      <c r="F12" s="73"/>
      <c r="G12" s="73"/>
      <c r="H12" s="73"/>
    </row>
    <row r="13" spans="1:12" ht="27.6" x14ac:dyDescent="0.25">
      <c r="A13" s="74">
        <v>1</v>
      </c>
      <c r="B13" s="14" t="s">
        <v>35</v>
      </c>
      <c r="C13" s="14" t="s">
        <v>106</v>
      </c>
      <c r="D13" s="75"/>
      <c r="E13" s="76"/>
      <c r="F13" s="76">
        <f>4*51150/1.2</f>
        <v>170500</v>
      </c>
      <c r="G13" s="77"/>
      <c r="H13" s="78">
        <f>SUM(D13:G13)</f>
        <v>170500</v>
      </c>
      <c r="K13" s="16">
        <f>51150/1.2</f>
        <v>42625</v>
      </c>
      <c r="L13" s="16">
        <f>4*51150/1.2</f>
        <v>170500</v>
      </c>
    </row>
    <row r="14" spans="1:12" ht="13.8" x14ac:dyDescent="0.25">
      <c r="A14" s="74"/>
      <c r="B14" s="79"/>
      <c r="C14" s="80" t="s">
        <v>40</v>
      </c>
      <c r="D14" s="75"/>
      <c r="E14" s="76"/>
      <c r="F14" s="76"/>
      <c r="G14" s="77"/>
      <c r="H14" s="78"/>
      <c r="K14" s="17"/>
      <c r="L14" s="17"/>
    </row>
    <row r="15" spans="1:12" ht="78.75" customHeight="1" x14ac:dyDescent="0.25">
      <c r="A15" s="74"/>
      <c r="B15" s="14" t="s">
        <v>41</v>
      </c>
      <c r="C15" s="14" t="s">
        <v>107</v>
      </c>
      <c r="D15" s="75"/>
      <c r="E15" s="76"/>
      <c r="F15" s="76">
        <f xml:space="preserve"> 4*109357/1.2</f>
        <v>364523.33333333337</v>
      </c>
      <c r="G15" s="77"/>
      <c r="H15" s="78">
        <f t="shared" ref="H15:H16" si="0">SUM(D15:G15)</f>
        <v>364523.33333333337</v>
      </c>
      <c r="K15" s="16">
        <f xml:space="preserve"> 109357/1.2</f>
        <v>91130.833333333343</v>
      </c>
      <c r="L15" s="16">
        <f>4* 109357/1.2</f>
        <v>364523.33333333337</v>
      </c>
    </row>
    <row r="16" spans="1:12" ht="79.5" customHeight="1" x14ac:dyDescent="0.25">
      <c r="A16" s="74"/>
      <c r="B16" s="14" t="s">
        <v>42</v>
      </c>
      <c r="C16" s="14" t="s">
        <v>108</v>
      </c>
      <c r="D16" s="75"/>
      <c r="E16" s="76"/>
      <c r="F16" s="76">
        <f>3*162000/1.2</f>
        <v>405000</v>
      </c>
      <c r="G16" s="77"/>
      <c r="H16" s="78">
        <f t="shared" si="0"/>
        <v>405000</v>
      </c>
      <c r="K16" s="16">
        <f>162000/1.2</f>
        <v>135000</v>
      </c>
      <c r="L16" s="16">
        <f>3*162000/1.2</f>
        <v>405000</v>
      </c>
    </row>
    <row r="17" spans="1:12" ht="41.4" hidden="1" x14ac:dyDescent="0.25">
      <c r="A17" s="74"/>
      <c r="B17" s="52" t="s">
        <v>43</v>
      </c>
      <c r="C17" s="14" t="s">
        <v>44</v>
      </c>
      <c r="D17" s="75"/>
      <c r="E17" s="76"/>
      <c r="F17" s="76"/>
      <c r="G17" s="77"/>
      <c r="H17" s="78"/>
      <c r="K17" s="17"/>
      <c r="L17" s="17"/>
    </row>
    <row r="18" spans="1:12" ht="13.8" hidden="1" x14ac:dyDescent="0.25">
      <c r="A18" s="74"/>
      <c r="B18" s="14" t="s">
        <v>45</v>
      </c>
      <c r="C18" s="14" t="s">
        <v>46</v>
      </c>
      <c r="D18" s="75"/>
      <c r="E18" s="76"/>
      <c r="F18" s="76"/>
      <c r="G18" s="77"/>
      <c r="H18" s="78"/>
      <c r="K18" s="17"/>
      <c r="L18" s="17"/>
    </row>
    <row r="19" spans="1:12" ht="13.8" hidden="1" x14ac:dyDescent="0.25">
      <c r="A19" s="74"/>
      <c r="B19" s="14" t="s">
        <v>37</v>
      </c>
      <c r="C19" s="14" t="s">
        <v>38</v>
      </c>
      <c r="D19" s="75"/>
      <c r="E19" s="76"/>
      <c r="F19" s="76"/>
      <c r="G19" s="77"/>
      <c r="H19" s="78"/>
      <c r="K19" s="17"/>
      <c r="L19" s="17"/>
    </row>
    <row r="20" spans="1:12" ht="13.8" hidden="1" x14ac:dyDescent="0.25">
      <c r="A20" s="74"/>
      <c r="B20" s="14" t="s">
        <v>47</v>
      </c>
      <c r="C20" s="14" t="s">
        <v>48</v>
      </c>
      <c r="D20" s="75"/>
      <c r="E20" s="76"/>
      <c r="F20" s="76"/>
      <c r="G20" s="77"/>
      <c r="H20" s="78"/>
      <c r="K20" s="17"/>
      <c r="L20" s="17"/>
    </row>
    <row r="21" spans="1:12" ht="13.8" hidden="1" x14ac:dyDescent="0.25">
      <c r="A21" s="74"/>
      <c r="B21" s="53" t="s">
        <v>36</v>
      </c>
      <c r="C21" s="53" t="s">
        <v>49</v>
      </c>
      <c r="D21" s="75"/>
      <c r="E21" s="76"/>
      <c r="F21" s="76"/>
      <c r="G21" s="77"/>
      <c r="H21" s="78"/>
      <c r="K21" s="17"/>
      <c r="L21" s="17"/>
    </row>
    <row r="22" spans="1:12" ht="37.5" customHeight="1" x14ac:dyDescent="0.25">
      <c r="A22" s="74"/>
      <c r="B22" s="52" t="s">
        <v>50</v>
      </c>
      <c r="C22" s="52" t="s">
        <v>109</v>
      </c>
      <c r="D22" s="75"/>
      <c r="E22" s="76"/>
      <c r="F22" s="76">
        <f>2*66444/1.2</f>
        <v>110740</v>
      </c>
      <c r="G22" s="77"/>
      <c r="H22" s="78">
        <f t="shared" ref="H22" si="1">SUM(D22:G22)</f>
        <v>110740</v>
      </c>
      <c r="K22" s="16">
        <f>66444/1.2</f>
        <v>55370</v>
      </c>
      <c r="L22" s="16">
        <f>2*66444/1.2</f>
        <v>110740</v>
      </c>
    </row>
    <row r="23" spans="1:12" ht="13.8" hidden="1" x14ac:dyDescent="0.25">
      <c r="A23" s="74"/>
      <c r="B23" s="18" t="s">
        <v>51</v>
      </c>
      <c r="C23" s="14" t="s">
        <v>52</v>
      </c>
      <c r="D23" s="75"/>
      <c r="E23" s="76"/>
      <c r="F23" s="76"/>
      <c r="G23" s="77"/>
      <c r="H23" s="78"/>
      <c r="K23" s="17"/>
      <c r="L23" s="17"/>
    </row>
    <row r="24" spans="1:12" ht="13.8" hidden="1" x14ac:dyDescent="0.25">
      <c r="A24" s="74"/>
      <c r="B24" s="18" t="s">
        <v>53</v>
      </c>
      <c r="C24" s="14" t="s">
        <v>54</v>
      </c>
      <c r="D24" s="75"/>
      <c r="E24" s="76"/>
      <c r="F24" s="76"/>
      <c r="G24" s="77"/>
      <c r="H24" s="78"/>
      <c r="K24" s="17"/>
      <c r="L24" s="17"/>
    </row>
    <row r="25" spans="1:12" ht="13.8" hidden="1" x14ac:dyDescent="0.25">
      <c r="A25" s="74"/>
      <c r="B25" s="14" t="s">
        <v>36</v>
      </c>
      <c r="C25" s="14" t="s">
        <v>55</v>
      </c>
      <c r="D25" s="75"/>
      <c r="E25" s="76"/>
      <c r="F25" s="76"/>
      <c r="G25" s="77"/>
      <c r="H25" s="78"/>
      <c r="K25" s="17"/>
      <c r="L25" s="17"/>
    </row>
    <row r="26" spans="1:12" ht="13.8" hidden="1" x14ac:dyDescent="0.25">
      <c r="A26" s="74"/>
      <c r="B26" s="14" t="s">
        <v>56</v>
      </c>
      <c r="C26" s="14" t="s">
        <v>57</v>
      </c>
      <c r="D26" s="75"/>
      <c r="E26" s="76"/>
      <c r="F26" s="76"/>
      <c r="G26" s="77"/>
      <c r="H26" s="78"/>
      <c r="K26" s="17"/>
      <c r="L26" s="17"/>
    </row>
    <row r="27" spans="1:12" ht="13.8" hidden="1" x14ac:dyDescent="0.25">
      <c r="A27" s="74"/>
      <c r="B27" s="14" t="s">
        <v>58</v>
      </c>
      <c r="C27" s="14" t="s">
        <v>59</v>
      </c>
      <c r="D27" s="75"/>
      <c r="E27" s="76"/>
      <c r="F27" s="76"/>
      <c r="G27" s="77"/>
      <c r="H27" s="78"/>
      <c r="K27" s="17"/>
      <c r="L27" s="17"/>
    </row>
    <row r="28" spans="1:12" ht="13.8" hidden="1" x14ac:dyDescent="0.25">
      <c r="A28" s="74"/>
      <c r="B28" s="14" t="s">
        <v>60</v>
      </c>
      <c r="C28" s="14" t="s">
        <v>61</v>
      </c>
      <c r="D28" s="75"/>
      <c r="E28" s="76"/>
      <c r="F28" s="76"/>
      <c r="G28" s="77"/>
      <c r="H28" s="78"/>
      <c r="K28" s="17"/>
      <c r="L28" s="17"/>
    </row>
    <row r="29" spans="1:12" ht="13.8" hidden="1" x14ac:dyDescent="0.25">
      <c r="A29" s="74"/>
      <c r="B29" s="14" t="s">
        <v>62</v>
      </c>
      <c r="C29" s="14" t="s">
        <v>63</v>
      </c>
      <c r="D29" s="75"/>
      <c r="E29" s="76"/>
      <c r="F29" s="76"/>
      <c r="G29" s="77"/>
      <c r="H29" s="78"/>
      <c r="K29" s="17"/>
      <c r="L29" s="17"/>
    </row>
    <row r="30" spans="1:12" ht="13.8" hidden="1" x14ac:dyDescent="0.25">
      <c r="A30" s="74"/>
      <c r="B30" s="14" t="s">
        <v>64</v>
      </c>
      <c r="C30" s="14" t="s">
        <v>65</v>
      </c>
      <c r="D30" s="75"/>
      <c r="E30" s="76"/>
      <c r="F30" s="76"/>
      <c r="G30" s="77"/>
      <c r="H30" s="78"/>
      <c r="K30" s="17"/>
      <c r="L30" s="17"/>
    </row>
    <row r="31" spans="1:12" ht="13.8" hidden="1" x14ac:dyDescent="0.25">
      <c r="A31" s="74"/>
      <c r="B31" s="14" t="s">
        <v>66</v>
      </c>
      <c r="C31" s="14" t="s">
        <v>67</v>
      </c>
      <c r="D31" s="75"/>
      <c r="E31" s="76"/>
      <c r="F31" s="76"/>
      <c r="G31" s="77"/>
      <c r="H31" s="78"/>
      <c r="K31" s="17"/>
      <c r="L31" s="17"/>
    </row>
    <row r="32" spans="1:12" ht="13.8" hidden="1" x14ac:dyDescent="0.25">
      <c r="A32" s="74"/>
      <c r="B32" s="14" t="s">
        <v>68</v>
      </c>
      <c r="C32" s="14" t="s">
        <v>69</v>
      </c>
      <c r="D32" s="75"/>
      <c r="E32" s="76"/>
      <c r="F32" s="76"/>
      <c r="G32" s="77"/>
      <c r="H32" s="78"/>
      <c r="K32" s="17"/>
      <c r="L32" s="17"/>
    </row>
    <row r="33" spans="1:12" ht="13.8" hidden="1" x14ac:dyDescent="0.25">
      <c r="A33" s="74"/>
      <c r="B33" s="14" t="s">
        <v>70</v>
      </c>
      <c r="C33" s="14" t="s">
        <v>71</v>
      </c>
      <c r="D33" s="75"/>
      <c r="E33" s="76"/>
      <c r="F33" s="76"/>
      <c r="G33" s="77"/>
      <c r="H33" s="78"/>
      <c r="K33" s="17"/>
      <c r="L33" s="17"/>
    </row>
    <row r="34" spans="1:12" ht="13.8" hidden="1" x14ac:dyDescent="0.25">
      <c r="A34" s="74"/>
      <c r="B34" s="53" t="s">
        <v>72</v>
      </c>
      <c r="C34" s="53" t="s">
        <v>73</v>
      </c>
      <c r="D34" s="75"/>
      <c r="E34" s="76"/>
      <c r="F34" s="76"/>
      <c r="G34" s="77"/>
      <c r="H34" s="78"/>
      <c r="K34" s="17"/>
      <c r="L34" s="17"/>
    </row>
    <row r="35" spans="1:12" ht="27.6" hidden="1" x14ac:dyDescent="0.25">
      <c r="A35" s="74"/>
      <c r="B35" s="14" t="s">
        <v>74</v>
      </c>
      <c r="C35" s="14" t="s">
        <v>75</v>
      </c>
      <c r="D35" s="75"/>
      <c r="E35" s="76"/>
      <c r="F35" s="76"/>
      <c r="G35" s="77"/>
      <c r="H35" s="78"/>
      <c r="K35" s="17"/>
      <c r="L35" s="17"/>
    </row>
    <row r="36" spans="1:12" ht="27.6" hidden="1" x14ac:dyDescent="0.25">
      <c r="A36" s="74"/>
      <c r="B36" s="14" t="s">
        <v>76</v>
      </c>
      <c r="C36" s="14" t="s">
        <v>77</v>
      </c>
      <c r="D36" s="75"/>
      <c r="E36" s="76"/>
      <c r="F36" s="76"/>
      <c r="G36" s="77"/>
      <c r="H36" s="78"/>
      <c r="K36" s="17"/>
      <c r="L36" s="17"/>
    </row>
    <row r="37" spans="1:12" ht="27.6" hidden="1" x14ac:dyDescent="0.25">
      <c r="A37" s="74"/>
      <c r="B37" s="14" t="s">
        <v>76</v>
      </c>
      <c r="C37" s="14" t="s">
        <v>78</v>
      </c>
      <c r="D37" s="75"/>
      <c r="E37" s="76"/>
      <c r="F37" s="76"/>
      <c r="G37" s="77"/>
      <c r="H37" s="78"/>
      <c r="K37" s="17"/>
      <c r="L37" s="17"/>
    </row>
    <row r="38" spans="1:12" ht="27.6" hidden="1" x14ac:dyDescent="0.25">
      <c r="A38" s="74"/>
      <c r="B38" s="14" t="s">
        <v>79</v>
      </c>
      <c r="C38" s="14" t="s">
        <v>80</v>
      </c>
      <c r="D38" s="75"/>
      <c r="E38" s="76"/>
      <c r="F38" s="76"/>
      <c r="G38" s="77"/>
      <c r="H38" s="78"/>
      <c r="K38" s="17"/>
      <c r="L38" s="17"/>
    </row>
    <row r="39" spans="1:12" ht="13.8" hidden="1" x14ac:dyDescent="0.25">
      <c r="A39" s="74"/>
      <c r="B39" s="79"/>
      <c r="C39" s="79"/>
      <c r="D39" s="75"/>
      <c r="E39" s="76"/>
      <c r="F39" s="76"/>
      <c r="G39" s="77"/>
      <c r="H39" s="78"/>
      <c r="K39" s="17"/>
      <c r="L39" s="17"/>
    </row>
    <row r="40" spans="1:12" ht="13.8" x14ac:dyDescent="0.25">
      <c r="A40" s="74"/>
      <c r="B40" s="79"/>
      <c r="C40" s="80" t="s">
        <v>81</v>
      </c>
      <c r="D40" s="75"/>
      <c r="E40" s="76"/>
      <c r="F40" s="76"/>
      <c r="G40" s="77"/>
      <c r="H40" s="78"/>
      <c r="K40" s="17"/>
      <c r="L40" s="17"/>
    </row>
    <row r="41" spans="1:12" ht="30" customHeight="1" x14ac:dyDescent="0.25">
      <c r="A41" s="74"/>
      <c r="B41" s="14" t="s">
        <v>82</v>
      </c>
      <c r="C41" s="14" t="s">
        <v>110</v>
      </c>
      <c r="D41" s="75"/>
      <c r="E41" s="76"/>
      <c r="F41" s="76">
        <f xml:space="preserve"> 1*75000/1.2</f>
        <v>62500</v>
      </c>
      <c r="G41" s="77"/>
      <c r="H41" s="78">
        <f t="shared" ref="H41:H42" si="2">SUM(D41:G41)</f>
        <v>62500</v>
      </c>
      <c r="K41" s="16">
        <f xml:space="preserve"> 75000/1.2</f>
        <v>62500</v>
      </c>
      <c r="L41" s="16">
        <f xml:space="preserve"> 75000/1.2</f>
        <v>62500</v>
      </c>
    </row>
    <row r="42" spans="1:12" ht="13.8" x14ac:dyDescent="0.25">
      <c r="A42" s="74"/>
      <c r="B42" s="14" t="s">
        <v>83</v>
      </c>
      <c r="C42" s="14" t="s">
        <v>111</v>
      </c>
      <c r="D42" s="75"/>
      <c r="E42" s="76"/>
      <c r="F42" s="76">
        <f>2*120000/1.2</f>
        <v>200000</v>
      </c>
      <c r="G42" s="77"/>
      <c r="H42" s="78">
        <f t="shared" si="2"/>
        <v>200000</v>
      </c>
      <c r="K42" s="16">
        <f>120000/1.2</f>
        <v>100000</v>
      </c>
      <c r="L42" s="16">
        <f>2*120000/1.2</f>
        <v>200000</v>
      </c>
    </row>
    <row r="43" spans="1:12" ht="13.8" hidden="1" x14ac:dyDescent="0.25">
      <c r="A43" s="74"/>
      <c r="B43" s="14" t="s">
        <v>84</v>
      </c>
      <c r="C43" s="14" t="s">
        <v>85</v>
      </c>
      <c r="D43" s="75"/>
      <c r="E43" s="76"/>
      <c r="F43" s="76"/>
      <c r="G43" s="77"/>
      <c r="H43" s="78"/>
      <c r="K43" s="17"/>
      <c r="L43" s="17"/>
    </row>
    <row r="44" spans="1:12" ht="13.8" hidden="1" x14ac:dyDescent="0.25">
      <c r="A44" s="74"/>
      <c r="B44" s="14" t="s">
        <v>86</v>
      </c>
      <c r="C44" s="14" t="s">
        <v>87</v>
      </c>
      <c r="D44" s="75"/>
      <c r="E44" s="76"/>
      <c r="F44" s="76"/>
      <c r="G44" s="77"/>
      <c r="H44" s="78"/>
      <c r="K44" s="17"/>
      <c r="L44" s="17"/>
    </row>
    <row r="45" spans="1:12" ht="13.8" x14ac:dyDescent="0.25">
      <c r="A45" s="74"/>
      <c r="B45" s="79"/>
      <c r="C45" s="79"/>
      <c r="D45" s="75"/>
      <c r="E45" s="76"/>
      <c r="F45" s="76"/>
      <c r="G45" s="77"/>
      <c r="H45" s="78"/>
      <c r="K45" s="17"/>
      <c r="L45" s="17"/>
    </row>
    <row r="46" spans="1:12" ht="13.8" x14ac:dyDescent="0.25">
      <c r="A46" s="74"/>
      <c r="B46" s="79"/>
      <c r="C46" s="80" t="s">
        <v>88</v>
      </c>
      <c r="D46" s="75"/>
      <c r="E46" s="76"/>
      <c r="F46" s="76"/>
      <c r="G46" s="77"/>
      <c r="H46" s="78"/>
      <c r="K46" s="17"/>
      <c r="L46" s="17"/>
    </row>
    <row r="47" spans="1:12" ht="13.8" hidden="1" x14ac:dyDescent="0.25">
      <c r="A47" s="74"/>
      <c r="B47" s="14" t="s">
        <v>89</v>
      </c>
      <c r="C47" s="14" t="s">
        <v>90</v>
      </c>
      <c r="D47" s="75"/>
      <c r="E47" s="76"/>
      <c r="F47" s="76"/>
      <c r="G47" s="77"/>
      <c r="H47" s="78"/>
      <c r="K47" s="17"/>
      <c r="L47" s="17"/>
    </row>
    <row r="48" spans="1:12" ht="19.5" customHeight="1" x14ac:dyDescent="0.25">
      <c r="A48" s="74"/>
      <c r="B48" s="14" t="s">
        <v>91</v>
      </c>
      <c r="C48" s="14" t="s">
        <v>112</v>
      </c>
      <c r="D48" s="75"/>
      <c r="E48" s="76"/>
      <c r="F48" s="76">
        <f>2*55463.3/1.2</f>
        <v>92438.833333333343</v>
      </c>
      <c r="G48" s="77"/>
      <c r="H48" s="78">
        <f t="shared" ref="H48" si="3">SUM(D48:G48)</f>
        <v>92438.833333333343</v>
      </c>
      <c r="K48" s="16">
        <f>55463.3/1.2</f>
        <v>46219.416666666672</v>
      </c>
      <c r="L48" s="16">
        <f>2*55463.3/1.2</f>
        <v>92438.833333333343</v>
      </c>
    </row>
    <row r="49" spans="1:12" ht="13.8" hidden="1" x14ac:dyDescent="0.25">
      <c r="A49" s="74"/>
      <c r="B49" s="14" t="s">
        <v>92</v>
      </c>
      <c r="C49" s="14" t="s">
        <v>93</v>
      </c>
      <c r="D49" s="75"/>
      <c r="E49" s="76"/>
      <c r="F49" s="76"/>
      <c r="G49" s="77"/>
      <c r="H49" s="78"/>
      <c r="K49" s="17"/>
      <c r="L49" s="17"/>
    </row>
    <row r="50" spans="1:12" ht="24.75" customHeight="1" x14ac:dyDescent="0.25">
      <c r="A50" s="74"/>
      <c r="B50" s="14" t="s">
        <v>94</v>
      </c>
      <c r="C50" s="14" t="s">
        <v>113</v>
      </c>
      <c r="D50" s="75"/>
      <c r="E50" s="76"/>
      <c r="F50" s="76">
        <f xml:space="preserve"> 3*84482.75/1.2</f>
        <v>211206.875</v>
      </c>
      <c r="G50" s="77"/>
      <c r="H50" s="78"/>
      <c r="K50" s="16">
        <f>84482.75/1.2</f>
        <v>70402.291666666672</v>
      </c>
      <c r="L50" s="16">
        <f>3*84482.75/1.2</f>
        <v>211206.875</v>
      </c>
    </row>
    <row r="51" spans="1:12" ht="13.8" hidden="1" x14ac:dyDescent="0.25">
      <c r="A51" s="74"/>
      <c r="B51" s="12" t="s">
        <v>95</v>
      </c>
      <c r="C51" s="12" t="s">
        <v>96</v>
      </c>
      <c r="D51" s="77"/>
      <c r="E51" s="78"/>
      <c r="F51" s="78"/>
      <c r="G51" s="77"/>
      <c r="H51" s="78"/>
      <c r="K51" s="17"/>
      <c r="L51" s="17"/>
    </row>
    <row r="52" spans="1:12" ht="13.8" hidden="1" x14ac:dyDescent="0.25">
      <c r="A52" s="74"/>
      <c r="B52" s="12" t="s">
        <v>97</v>
      </c>
      <c r="C52" s="12" t="s">
        <v>98</v>
      </c>
      <c r="D52" s="77"/>
      <c r="E52" s="78"/>
      <c r="F52" s="78"/>
      <c r="G52" s="77"/>
      <c r="H52" s="78"/>
      <c r="K52" s="17"/>
      <c r="L52" s="17"/>
    </row>
    <row r="53" spans="1:12" ht="13.8" hidden="1" x14ac:dyDescent="0.25">
      <c r="A53" s="74"/>
      <c r="B53" s="12" t="s">
        <v>99</v>
      </c>
      <c r="C53" s="12" t="s">
        <v>100</v>
      </c>
      <c r="D53" s="77"/>
      <c r="E53" s="78"/>
      <c r="F53" s="78"/>
      <c r="G53" s="77"/>
      <c r="H53" s="78"/>
      <c r="K53" s="17"/>
      <c r="L53" s="17"/>
    </row>
    <row r="54" spans="1:12" ht="13.8" hidden="1" x14ac:dyDescent="0.25">
      <c r="A54" s="74"/>
      <c r="B54" s="12" t="s">
        <v>101</v>
      </c>
      <c r="C54" s="12" t="s">
        <v>102</v>
      </c>
      <c r="D54" s="77"/>
      <c r="E54" s="78"/>
      <c r="F54" s="78"/>
      <c r="G54" s="77"/>
      <c r="H54" s="78"/>
      <c r="K54" s="17"/>
      <c r="L54" s="17"/>
    </row>
    <row r="55" spans="1:12" ht="13.8" hidden="1" x14ac:dyDescent="0.25">
      <c r="A55" s="74"/>
      <c r="B55" s="12"/>
      <c r="C55" s="12" t="s">
        <v>103</v>
      </c>
      <c r="D55" s="77"/>
      <c r="E55" s="78"/>
      <c r="F55" s="78"/>
      <c r="G55" s="77"/>
      <c r="H55" s="78"/>
      <c r="K55" s="17"/>
      <c r="L55" s="17"/>
    </row>
    <row r="56" spans="1:12" ht="41.4" hidden="1" x14ac:dyDescent="0.25">
      <c r="A56" s="74"/>
      <c r="B56" s="12" t="s">
        <v>36</v>
      </c>
      <c r="C56" s="12" t="s">
        <v>104</v>
      </c>
      <c r="D56" s="77"/>
      <c r="E56" s="78"/>
      <c r="F56" s="78"/>
      <c r="G56" s="77"/>
      <c r="H56" s="78"/>
      <c r="K56" s="17"/>
      <c r="L56" s="17"/>
    </row>
    <row r="57" spans="1:12" ht="13.8" x14ac:dyDescent="0.25">
      <c r="A57" s="74"/>
      <c r="B57" s="73"/>
      <c r="C57" s="70" t="s">
        <v>119</v>
      </c>
      <c r="D57" s="81"/>
      <c r="E57" s="82"/>
      <c r="F57" s="82">
        <f>SUM(F13:F56)</f>
        <v>1616909.0416666667</v>
      </c>
      <c r="G57" s="81"/>
      <c r="H57" s="82">
        <f t="shared" ref="H57:H59" si="4">SUM(D57:G57)</f>
        <v>1616909.0416666667</v>
      </c>
      <c r="K57" s="22">
        <f>SUM(K13:K56)</f>
        <v>603247.54166666663</v>
      </c>
      <c r="L57" s="22">
        <f>SUM(L13:L56)</f>
        <v>1616909.0416666667</v>
      </c>
    </row>
    <row r="58" spans="1:12" ht="62.25" customHeight="1" x14ac:dyDescent="0.25">
      <c r="A58" s="74"/>
      <c r="B58" s="83" t="s">
        <v>118</v>
      </c>
      <c r="C58" s="83" t="s">
        <v>120</v>
      </c>
      <c r="D58" s="77"/>
      <c r="E58" s="78">
        <f>F57*114/100</f>
        <v>1843276.3075000001</v>
      </c>
      <c r="F58" s="78"/>
      <c r="G58" s="77"/>
      <c r="H58" s="78">
        <f t="shared" si="4"/>
        <v>1843276.3075000001</v>
      </c>
      <c r="K58" s="17"/>
    </row>
    <row r="59" spans="1:12" ht="23.25" customHeight="1" x14ac:dyDescent="0.25">
      <c r="A59" s="74"/>
      <c r="B59" s="83" t="s">
        <v>164</v>
      </c>
      <c r="C59" s="83" t="s">
        <v>121</v>
      </c>
      <c r="D59" s="77"/>
      <c r="E59" s="76">
        <f>МРСК!H13</f>
        <v>2365560</v>
      </c>
      <c r="F59" s="78"/>
      <c r="G59" s="77"/>
      <c r="H59" s="78">
        <f t="shared" si="4"/>
        <v>2365560</v>
      </c>
    </row>
    <row r="60" spans="1:12" ht="13.8" x14ac:dyDescent="0.25">
      <c r="A60" s="84"/>
      <c r="B60" s="93" t="s">
        <v>9</v>
      </c>
      <c r="C60" s="94"/>
      <c r="D60" s="78">
        <f t="shared" ref="D60" si="5">D57+D58+D59</f>
        <v>0</v>
      </c>
      <c r="E60" s="78">
        <f>E57+E58+E59</f>
        <v>4208836.3075000001</v>
      </c>
      <c r="F60" s="78">
        <f>F57+F58+F59</f>
        <v>1616909.0416666667</v>
      </c>
      <c r="G60" s="78">
        <f>G57+G58+G59</f>
        <v>0</v>
      </c>
      <c r="H60" s="78">
        <f>H57+H58+H59</f>
        <v>5825745.3491666671</v>
      </c>
    </row>
    <row r="61" spans="1:12" ht="13.8" x14ac:dyDescent="0.25">
      <c r="A61" s="101" t="s">
        <v>10</v>
      </c>
      <c r="B61" s="102"/>
      <c r="C61" s="102"/>
      <c r="D61" s="102"/>
      <c r="E61" s="102"/>
      <c r="F61" s="102"/>
      <c r="G61" s="102"/>
      <c r="H61" s="102"/>
    </row>
    <row r="62" spans="1:12" ht="13.8" x14ac:dyDescent="0.25">
      <c r="A62" s="84"/>
      <c r="B62" s="93" t="s">
        <v>11</v>
      </c>
      <c r="C62" s="94"/>
      <c r="D62" s="78">
        <f t="shared" ref="D62:E62" si="6">D60</f>
        <v>0</v>
      </c>
      <c r="E62" s="78">
        <f t="shared" si="6"/>
        <v>4208836.3075000001</v>
      </c>
      <c r="F62" s="78">
        <f>F60</f>
        <v>1616909.0416666667</v>
      </c>
      <c r="G62" s="78">
        <f>G60</f>
        <v>0</v>
      </c>
      <c r="H62" s="78">
        <f>H60</f>
        <v>5825745.3491666671</v>
      </c>
    </row>
    <row r="63" spans="1:12" ht="13.8" x14ac:dyDescent="0.25">
      <c r="A63" s="101" t="s">
        <v>12</v>
      </c>
      <c r="B63" s="102"/>
      <c r="C63" s="102"/>
      <c r="D63" s="102"/>
      <c r="E63" s="102"/>
      <c r="F63" s="102"/>
      <c r="G63" s="102"/>
      <c r="H63" s="102"/>
    </row>
    <row r="64" spans="1:12" ht="13.8" x14ac:dyDescent="0.25">
      <c r="A64" s="70"/>
      <c r="B64" s="85"/>
      <c r="C64" s="85"/>
      <c r="D64" s="73"/>
      <c r="E64" s="73"/>
      <c r="F64" s="73"/>
      <c r="G64" s="73"/>
      <c r="H64" s="73"/>
    </row>
    <row r="65" spans="1:11" ht="13.8" x14ac:dyDescent="0.25">
      <c r="A65" s="84"/>
      <c r="B65" s="93" t="s">
        <v>13</v>
      </c>
      <c r="C65" s="94"/>
      <c r="D65" s="78">
        <f t="shared" ref="D65:E65" si="7">D62</f>
        <v>0</v>
      </c>
      <c r="E65" s="78">
        <f t="shared" si="7"/>
        <v>4208836.3075000001</v>
      </c>
      <c r="F65" s="78">
        <f>F62</f>
        <v>1616909.0416666667</v>
      </c>
      <c r="G65" s="78">
        <f>G62</f>
        <v>0</v>
      </c>
      <c r="H65" s="78">
        <f>H62</f>
        <v>5825745.3491666671</v>
      </c>
    </row>
    <row r="66" spans="1:11" ht="13.8" x14ac:dyDescent="0.25">
      <c r="A66" s="101" t="s">
        <v>14</v>
      </c>
      <c r="B66" s="102"/>
      <c r="C66" s="102"/>
      <c r="D66" s="102"/>
      <c r="E66" s="102"/>
      <c r="F66" s="102"/>
      <c r="G66" s="102"/>
      <c r="H66" s="102"/>
    </row>
    <row r="67" spans="1:11" ht="19.5" customHeight="1" x14ac:dyDescent="0.25">
      <c r="A67" s="70"/>
      <c r="B67" s="83" t="s">
        <v>164</v>
      </c>
      <c r="C67" s="85" t="s">
        <v>122</v>
      </c>
      <c r="D67" s="73"/>
      <c r="E67" s="76">
        <f>МРСК!L12</f>
        <v>369620</v>
      </c>
      <c r="F67" s="73"/>
      <c r="G67" s="73"/>
      <c r="H67" s="73"/>
    </row>
    <row r="68" spans="1:11" ht="31.5" customHeight="1" x14ac:dyDescent="0.25">
      <c r="A68" s="70"/>
      <c r="B68" s="83" t="s">
        <v>114</v>
      </c>
      <c r="C68" s="83" t="s">
        <v>115</v>
      </c>
      <c r="D68" s="73"/>
      <c r="E68" s="73"/>
      <c r="F68" s="86"/>
      <c r="G68" s="78">
        <f>F57*0.07</f>
        <v>113183.63291666668</v>
      </c>
      <c r="H68" s="78">
        <f t="shared" ref="H68" si="8">SUM(D68:G68)</f>
        <v>113183.63291666668</v>
      </c>
    </row>
    <row r="69" spans="1:11" ht="13.8" x14ac:dyDescent="0.25">
      <c r="A69" s="84"/>
      <c r="B69" s="93" t="s">
        <v>15</v>
      </c>
      <c r="C69" s="94"/>
      <c r="D69" s="87">
        <f>SUM(D67:D68)</f>
        <v>0</v>
      </c>
      <c r="E69" s="87">
        <f t="shared" ref="E69:G69" si="9">SUM(E67:E68)</f>
        <v>369620</v>
      </c>
      <c r="F69" s="87">
        <f t="shared" si="9"/>
        <v>0</v>
      </c>
      <c r="G69" s="87">
        <f t="shared" si="9"/>
        <v>113183.63291666668</v>
      </c>
      <c r="H69" s="78">
        <f>SUM(D69:G69)</f>
        <v>482803.63291666668</v>
      </c>
    </row>
    <row r="70" spans="1:11" ht="13.8" x14ac:dyDescent="0.25">
      <c r="A70" s="84"/>
      <c r="B70" s="93" t="s">
        <v>16</v>
      </c>
      <c r="C70" s="94"/>
      <c r="D70" s="87">
        <f t="shared" ref="D70" si="10">D65+D69</f>
        <v>0</v>
      </c>
      <c r="E70" s="87">
        <f>E65+E69</f>
        <v>4578456.3075000001</v>
      </c>
      <c r="F70" s="87">
        <f>F65+F69</f>
        <v>1616909.0416666667</v>
      </c>
      <c r="G70" s="87">
        <f>G65+G69</f>
        <v>113183.63291666668</v>
      </c>
      <c r="H70" s="78">
        <f>H65+H69</f>
        <v>6308548.9820833337</v>
      </c>
    </row>
    <row r="71" spans="1:11" ht="13.8" x14ac:dyDescent="0.25">
      <c r="A71" s="101" t="s">
        <v>17</v>
      </c>
      <c r="B71" s="102"/>
      <c r="C71" s="102"/>
      <c r="D71" s="102"/>
      <c r="E71" s="102"/>
      <c r="F71" s="102"/>
      <c r="G71" s="102"/>
      <c r="H71" s="102"/>
    </row>
    <row r="72" spans="1:11" ht="13.8" x14ac:dyDescent="0.25">
      <c r="A72" s="84"/>
      <c r="B72" s="93" t="s">
        <v>18</v>
      </c>
      <c r="C72" s="94"/>
      <c r="D72" s="77"/>
      <c r="E72" s="77"/>
      <c r="F72" s="77"/>
      <c r="G72" s="77"/>
      <c r="H72" s="77"/>
    </row>
    <row r="73" spans="1:11" ht="13.8" x14ac:dyDescent="0.25">
      <c r="A73" s="101" t="s">
        <v>19</v>
      </c>
      <c r="B73" s="102"/>
      <c r="C73" s="102"/>
      <c r="D73" s="102"/>
      <c r="E73" s="102"/>
      <c r="F73" s="102"/>
      <c r="G73" s="102"/>
      <c r="H73" s="102"/>
    </row>
    <row r="74" spans="1:11" ht="17.25" customHeight="1" x14ac:dyDescent="0.25">
      <c r="A74" s="70"/>
      <c r="B74" s="83" t="s">
        <v>164</v>
      </c>
      <c r="C74" s="79" t="s">
        <v>163</v>
      </c>
      <c r="D74" s="88">
        <f>МРСК!K13</f>
        <v>109174.06</v>
      </c>
      <c r="E74" s="73"/>
      <c r="F74" s="73"/>
      <c r="G74" s="78"/>
      <c r="H74" s="86">
        <f>SUM(D74:G74)</f>
        <v>109174.06</v>
      </c>
    </row>
    <row r="75" spans="1:11" ht="13.8" x14ac:dyDescent="0.25">
      <c r="A75" s="84"/>
      <c r="B75" s="93" t="s">
        <v>20</v>
      </c>
      <c r="C75" s="94"/>
      <c r="D75" s="89">
        <f>D74</f>
        <v>109174.06</v>
      </c>
      <c r="E75" s="89">
        <f>E74</f>
        <v>0</v>
      </c>
      <c r="F75" s="89">
        <f t="shared" ref="F75:H75" si="11">F74</f>
        <v>0</v>
      </c>
      <c r="G75" s="89">
        <f t="shared" si="11"/>
        <v>0</v>
      </c>
      <c r="H75" s="89">
        <f t="shared" si="11"/>
        <v>109174.06</v>
      </c>
    </row>
    <row r="76" spans="1:11" ht="13.8" x14ac:dyDescent="0.25">
      <c r="A76" s="84"/>
      <c r="B76" s="93" t="s">
        <v>21</v>
      </c>
      <c r="C76" s="94"/>
      <c r="D76" s="89">
        <f>D70+D75</f>
        <v>109174.06</v>
      </c>
      <c r="E76" s="89">
        <f>E70+E75</f>
        <v>4578456.3075000001</v>
      </c>
      <c r="F76" s="89">
        <f t="shared" ref="F76:H76" si="12">F70+F75</f>
        <v>1616909.0416666667</v>
      </c>
      <c r="G76" s="89">
        <f t="shared" si="12"/>
        <v>113183.63291666668</v>
      </c>
      <c r="H76" s="89">
        <f t="shared" si="12"/>
        <v>6417723.0420833332</v>
      </c>
    </row>
    <row r="77" spans="1:11" ht="13.8" x14ac:dyDescent="0.25">
      <c r="A77" s="101" t="s">
        <v>22</v>
      </c>
      <c r="B77" s="102"/>
      <c r="C77" s="102"/>
      <c r="D77" s="102"/>
      <c r="E77" s="102"/>
      <c r="F77" s="102"/>
      <c r="G77" s="102"/>
      <c r="H77" s="102"/>
    </row>
    <row r="78" spans="1:11" ht="19.5" customHeight="1" x14ac:dyDescent="0.25">
      <c r="A78" s="74">
        <v>3</v>
      </c>
      <c r="B78" s="83" t="s">
        <v>23</v>
      </c>
      <c r="C78" s="83" t="s">
        <v>24</v>
      </c>
      <c r="D78" s="89">
        <f>D76*0.015</f>
        <v>1637.6108999999999</v>
      </c>
      <c r="E78" s="89">
        <f t="shared" ref="E78:G78" si="13">E76*0.015</f>
        <v>68676.844612500005</v>
      </c>
      <c r="F78" s="89">
        <f t="shared" si="13"/>
        <v>24253.635624999999</v>
      </c>
      <c r="G78" s="89">
        <f t="shared" si="13"/>
        <v>1697.7544937500002</v>
      </c>
      <c r="H78" s="89">
        <f>H76*0.015</f>
        <v>96265.845631249991</v>
      </c>
    </row>
    <row r="79" spans="1:11" ht="13.8" x14ac:dyDescent="0.25">
      <c r="A79" s="84"/>
      <c r="B79" s="93" t="s">
        <v>25</v>
      </c>
      <c r="C79" s="94"/>
      <c r="D79" s="89">
        <f>D78</f>
        <v>1637.6108999999999</v>
      </c>
      <c r="E79" s="89">
        <f t="shared" ref="E79:H79" si="14">E78</f>
        <v>68676.844612500005</v>
      </c>
      <c r="F79" s="89">
        <f t="shared" si="14"/>
        <v>24253.635624999999</v>
      </c>
      <c r="G79" s="89">
        <f t="shared" si="14"/>
        <v>1697.7544937500002</v>
      </c>
      <c r="H79" s="89">
        <f t="shared" si="14"/>
        <v>96265.845631249991</v>
      </c>
      <c r="J79" s="3" t="s">
        <v>39</v>
      </c>
    </row>
    <row r="80" spans="1:11" ht="13.8" x14ac:dyDescent="0.25">
      <c r="A80" s="84"/>
      <c r="B80" s="93" t="s">
        <v>26</v>
      </c>
      <c r="C80" s="94"/>
      <c r="D80" s="90">
        <f>D76+D79</f>
        <v>110811.6709</v>
      </c>
      <c r="E80" s="90">
        <f t="shared" ref="E80:H80" si="15">E76+E79</f>
        <v>4647133.1521124998</v>
      </c>
      <c r="F80" s="90">
        <f t="shared" si="15"/>
        <v>1641162.6772916669</v>
      </c>
      <c r="G80" s="90">
        <f t="shared" si="15"/>
        <v>114881.38741041669</v>
      </c>
      <c r="H80" s="90">
        <f t="shared" si="15"/>
        <v>6513988.8877145834</v>
      </c>
      <c r="J80" s="13">
        <v>6513988.8899999997</v>
      </c>
      <c r="K80" s="15">
        <f>J80-H80</f>
        <v>2.2854162380099297E-3</v>
      </c>
    </row>
    <row r="81" spans="1:13" ht="13.8" x14ac:dyDescent="0.25">
      <c r="A81" s="101" t="s">
        <v>27</v>
      </c>
      <c r="B81" s="102"/>
      <c r="C81" s="102"/>
      <c r="D81" s="102"/>
      <c r="E81" s="102"/>
      <c r="F81" s="102"/>
      <c r="G81" s="102"/>
      <c r="H81" s="102"/>
    </row>
    <row r="82" spans="1:13" ht="29.25" customHeight="1" x14ac:dyDescent="0.25">
      <c r="A82" s="74">
        <v>4</v>
      </c>
      <c r="B82" s="83" t="s">
        <v>28</v>
      </c>
      <c r="C82" s="83" t="s">
        <v>29</v>
      </c>
      <c r="D82" s="89">
        <f>D80*0.2</f>
        <v>22162.334180000002</v>
      </c>
      <c r="E82" s="89">
        <f>E80*0.2</f>
        <v>929426.63042249996</v>
      </c>
      <c r="F82" s="89">
        <f>F80*0.2</f>
        <v>328232.53545833338</v>
      </c>
      <c r="G82" s="89">
        <f>G80*0.2</f>
        <v>22976.27748208334</v>
      </c>
      <c r="H82" s="89">
        <f t="shared" ref="H82" si="16">H80*0.2</f>
        <v>1302797.7775429168</v>
      </c>
    </row>
    <row r="83" spans="1:13" ht="24.75" customHeight="1" x14ac:dyDescent="0.25">
      <c r="A83" s="84"/>
      <c r="B83" s="93" t="s">
        <v>30</v>
      </c>
      <c r="C83" s="94"/>
      <c r="D83" s="89">
        <f>D82</f>
        <v>22162.334180000002</v>
      </c>
      <c r="E83" s="89">
        <f t="shared" ref="E83:H83" si="17">E82</f>
        <v>929426.63042249996</v>
      </c>
      <c r="F83" s="89">
        <f t="shared" si="17"/>
        <v>328232.53545833338</v>
      </c>
      <c r="G83" s="89">
        <f t="shared" si="17"/>
        <v>22976.27748208334</v>
      </c>
      <c r="H83" s="89">
        <f t="shared" si="17"/>
        <v>1302797.7775429168</v>
      </c>
      <c r="J83" s="15">
        <v>6513988.8899999997</v>
      </c>
      <c r="K83" s="15">
        <v>7816786.6699999999</v>
      </c>
    </row>
    <row r="84" spans="1:13" ht="24.75" customHeight="1" x14ac:dyDescent="0.25">
      <c r="A84" s="84"/>
      <c r="B84" s="93" t="s">
        <v>32</v>
      </c>
      <c r="C84" s="94"/>
      <c r="D84" s="90">
        <f>D80+D83</f>
        <v>132974.00508</v>
      </c>
      <c r="E84" s="90">
        <f t="shared" ref="E84:G84" si="18">E80+E83</f>
        <v>5576559.7825349998</v>
      </c>
      <c r="F84" s="90">
        <f t="shared" si="18"/>
        <v>1969395.2127500002</v>
      </c>
      <c r="G84" s="90">
        <f t="shared" si="18"/>
        <v>137857.66489250003</v>
      </c>
      <c r="H84" s="90">
        <f>H80+H83</f>
        <v>7816786.6652575005</v>
      </c>
    </row>
    <row r="85" spans="1:13" x14ac:dyDescent="0.25">
      <c r="A85" s="19"/>
      <c r="B85" s="20"/>
      <c r="C85" s="20"/>
      <c r="D85" s="21"/>
      <c r="E85" s="21"/>
      <c r="F85" s="21"/>
      <c r="G85" s="21"/>
      <c r="H85" s="21"/>
    </row>
    <row r="86" spans="1:13" x14ac:dyDescent="0.25">
      <c r="A86" s="19"/>
      <c r="B86" s="20"/>
      <c r="C86" s="20"/>
      <c r="D86" s="21"/>
      <c r="E86" s="21"/>
      <c r="F86" s="21"/>
      <c r="G86" s="21"/>
      <c r="H86" s="21"/>
    </row>
    <row r="87" spans="1:13" x14ac:dyDescent="0.25">
      <c r="A87" s="19"/>
      <c r="B87" s="20"/>
      <c r="C87" s="20"/>
      <c r="D87" s="21"/>
      <c r="E87" s="21"/>
      <c r="F87" s="21"/>
      <c r="G87" s="21"/>
      <c r="H87" s="21"/>
    </row>
    <row r="88" spans="1:13" s="55" customFormat="1" ht="37.5" customHeight="1" x14ac:dyDescent="0.25">
      <c r="A88" s="56"/>
      <c r="B88" s="98"/>
      <c r="C88" s="98"/>
      <c r="D88" s="98"/>
      <c r="E88" s="57"/>
      <c r="F88" s="57"/>
      <c r="G88" s="98"/>
      <c r="H88" s="98"/>
    </row>
    <row r="89" spans="1:13" s="55" customFormat="1" ht="37.5" customHeight="1" x14ac:dyDescent="0.25">
      <c r="A89" s="56"/>
      <c r="B89" s="98"/>
      <c r="C89" s="98"/>
      <c r="D89" s="98"/>
      <c r="E89" s="58"/>
      <c r="F89" s="58"/>
      <c r="G89" s="98"/>
      <c r="H89" s="98"/>
    </row>
    <row r="90" spans="1:13" s="55" customFormat="1" ht="37.5" customHeight="1" x14ac:dyDescent="0.25">
      <c r="A90" s="56"/>
      <c r="B90" s="58"/>
      <c r="C90" s="59"/>
      <c r="D90" s="59"/>
      <c r="E90" s="59"/>
      <c r="F90" s="59"/>
      <c r="G90" s="59"/>
      <c r="H90" s="59"/>
    </row>
    <row r="91" spans="1:13" s="5" customFormat="1" ht="37.5" customHeight="1" x14ac:dyDescent="0.35">
      <c r="A91" s="91"/>
      <c r="B91" s="92"/>
      <c r="C91" s="91"/>
      <c r="D91" s="91"/>
      <c r="E91" s="91"/>
      <c r="F91" s="91"/>
      <c r="G91" s="92"/>
      <c r="H91" s="63"/>
      <c r="I91" s="26"/>
      <c r="K91" s="26"/>
      <c r="L91" s="26"/>
      <c r="M91" s="26"/>
    </row>
    <row r="92" spans="1:13" s="8" customFormat="1" ht="29.25" customHeight="1" x14ac:dyDescent="0.25">
      <c r="A92" s="19"/>
      <c r="B92" s="96"/>
      <c r="C92" s="97"/>
      <c r="D92" s="10"/>
      <c r="E92" s="11"/>
      <c r="F92" s="10"/>
      <c r="G92" s="9"/>
      <c r="H92" s="11"/>
    </row>
    <row r="93" spans="1:13" s="8" customFormat="1" x14ac:dyDescent="0.25">
      <c r="A93" s="1"/>
      <c r="B93" s="6"/>
      <c r="C93" s="6"/>
      <c r="D93" s="7"/>
      <c r="E93" s="7"/>
      <c r="F93" s="7"/>
      <c r="G93" s="7"/>
      <c r="H93" s="7"/>
    </row>
    <row r="94" spans="1:13" x14ac:dyDescent="0.25">
      <c r="B94" s="6"/>
      <c r="C94" s="6"/>
      <c r="D94" s="7"/>
      <c r="E94" s="7"/>
      <c r="F94" s="7"/>
      <c r="G94" s="7"/>
      <c r="H94" s="7"/>
    </row>
  </sheetData>
  <mergeCells count="36">
    <mergeCell ref="C1:F1"/>
    <mergeCell ref="B80:C80"/>
    <mergeCell ref="A81:H81"/>
    <mergeCell ref="A66:H66"/>
    <mergeCell ref="B69:C69"/>
    <mergeCell ref="B70:C70"/>
    <mergeCell ref="A71:H71"/>
    <mergeCell ref="B72:C72"/>
    <mergeCell ref="C2:G2"/>
    <mergeCell ref="B75:C75"/>
    <mergeCell ref="B76:C76"/>
    <mergeCell ref="A77:H77"/>
    <mergeCell ref="B79:C79"/>
    <mergeCell ref="H6:H9"/>
    <mergeCell ref="D7:D9"/>
    <mergeCell ref="E7:E9"/>
    <mergeCell ref="A6:A9"/>
    <mergeCell ref="B6:B9"/>
    <mergeCell ref="C6:C9"/>
    <mergeCell ref="D6:G6"/>
    <mergeCell ref="A73:H73"/>
    <mergeCell ref="A11:H11"/>
    <mergeCell ref="B60:C60"/>
    <mergeCell ref="A61:H61"/>
    <mergeCell ref="B62:C62"/>
    <mergeCell ref="A63:H63"/>
    <mergeCell ref="B65:C65"/>
    <mergeCell ref="B83:C83"/>
    <mergeCell ref="B84:C84"/>
    <mergeCell ref="F7:F9"/>
    <mergeCell ref="G7:G9"/>
    <mergeCell ref="B92:C92"/>
    <mergeCell ref="B89:D89"/>
    <mergeCell ref="G89:H89"/>
    <mergeCell ref="B88:D88"/>
    <mergeCell ref="G88:H88"/>
  </mergeCells>
  <pageMargins left="0.43307086614173229" right="0.23622047244094491" top="0.51181102362204722" bottom="0.51181102362204722" header="0.31496062992125984" footer="0.31496062992125984"/>
  <pageSetup paperSize="9" scale="55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8"/>
  <sheetViews>
    <sheetView view="pageBreakPreview" topLeftCell="A10" zoomScale="90" zoomScaleNormal="100" zoomScaleSheetLayoutView="90" workbookViewId="0">
      <selection activeCell="Q34" sqref="Q34"/>
    </sheetView>
  </sheetViews>
  <sheetFormatPr defaultRowHeight="13.2" x14ac:dyDescent="0.25"/>
  <cols>
    <col min="1" max="1" width="4.6640625" customWidth="1"/>
    <col min="2" max="2" width="46.6640625" customWidth="1"/>
    <col min="3" max="3" width="11.5546875" customWidth="1"/>
    <col min="6" max="6" width="11.5546875" customWidth="1"/>
    <col min="8" max="13" width="13.5546875" customWidth="1"/>
    <col min="17" max="17" width="11.6640625" customWidth="1"/>
    <col min="18" max="19" width="9.109375" customWidth="1"/>
  </cols>
  <sheetData>
    <row r="1" spans="1:17" ht="17.399999999999999" x14ac:dyDescent="0.3">
      <c r="A1" s="107" t="s">
        <v>123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</row>
    <row r="2" spans="1:17" x14ac:dyDescent="0.25">
      <c r="A2" s="23"/>
      <c r="B2" s="23"/>
      <c r="C2" s="23"/>
      <c r="D2" s="23"/>
      <c r="E2" s="23"/>
      <c r="F2" s="23"/>
      <c r="G2" s="24"/>
      <c r="H2" s="23"/>
      <c r="I2" s="23"/>
      <c r="J2" s="23"/>
      <c r="K2" s="23"/>
      <c r="L2" s="23"/>
      <c r="M2" s="23"/>
    </row>
    <row r="3" spans="1:17" ht="30.75" customHeight="1" x14ac:dyDescent="0.25">
      <c r="A3" s="109" t="s">
        <v>124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</row>
    <row r="4" spans="1:17" ht="15.6" x14ac:dyDescent="0.3">
      <c r="A4" s="25" t="s">
        <v>125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</row>
    <row r="5" spans="1:17" ht="13.8" x14ac:dyDescent="0.25">
      <c r="A5" s="110" t="s">
        <v>126</v>
      </c>
      <c r="B5" s="110"/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26"/>
    </row>
    <row r="6" spans="1:17" ht="2.25" customHeight="1" x14ac:dyDescent="0.3">
      <c r="A6" s="27"/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3"/>
    </row>
    <row r="7" spans="1:17" ht="16.2" x14ac:dyDescent="0.35">
      <c r="A7" s="28"/>
      <c r="B7" s="29" t="s">
        <v>127</v>
      </c>
      <c r="C7" s="30"/>
      <c r="D7" s="23"/>
      <c r="E7" s="23"/>
      <c r="F7" s="23"/>
      <c r="G7" s="23"/>
      <c r="H7" s="23"/>
      <c r="I7" s="23"/>
      <c r="J7" s="23"/>
      <c r="K7" s="23"/>
      <c r="L7" s="23"/>
      <c r="M7" s="23"/>
    </row>
    <row r="8" spans="1:17" ht="6.75" customHeight="1" x14ac:dyDescent="0.25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</row>
    <row r="9" spans="1:17" x14ac:dyDescent="0.25">
      <c r="A9" s="111" t="s">
        <v>128</v>
      </c>
      <c r="B9" s="111" t="s">
        <v>129</v>
      </c>
      <c r="C9" s="111" t="s">
        <v>130</v>
      </c>
      <c r="D9" s="111" t="s">
        <v>131</v>
      </c>
      <c r="E9" s="111" t="s">
        <v>132</v>
      </c>
      <c r="F9" s="113" t="s">
        <v>133</v>
      </c>
      <c r="G9" s="111" t="s">
        <v>134</v>
      </c>
      <c r="H9" s="111" t="s">
        <v>135</v>
      </c>
      <c r="I9" s="111"/>
      <c r="J9" s="111"/>
      <c r="K9" s="111"/>
      <c r="L9" s="111"/>
      <c r="M9" s="117" t="s">
        <v>136</v>
      </c>
    </row>
    <row r="10" spans="1:17" ht="79.2" x14ac:dyDescent="0.25">
      <c r="A10" s="111"/>
      <c r="B10" s="111"/>
      <c r="C10" s="111"/>
      <c r="D10" s="112"/>
      <c r="E10" s="111"/>
      <c r="F10" s="113"/>
      <c r="G10" s="112"/>
      <c r="H10" s="31" t="s">
        <v>137</v>
      </c>
      <c r="I10" s="31" t="s">
        <v>138</v>
      </c>
      <c r="J10" s="31" t="s">
        <v>139</v>
      </c>
      <c r="K10" s="31" t="s">
        <v>140</v>
      </c>
      <c r="L10" s="31" t="s">
        <v>141</v>
      </c>
      <c r="M10" s="118"/>
    </row>
    <row r="11" spans="1:17" x14ac:dyDescent="0.25">
      <c r="A11" s="119" t="s">
        <v>142</v>
      </c>
      <c r="B11" s="120"/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21"/>
    </row>
    <row r="12" spans="1:17" ht="27" customHeight="1" x14ac:dyDescent="0.25">
      <c r="A12" s="32">
        <v>1</v>
      </c>
      <c r="B12" s="33" t="s">
        <v>143</v>
      </c>
      <c r="C12" s="31" t="s">
        <v>144</v>
      </c>
      <c r="D12" s="34">
        <v>86.6</v>
      </c>
      <c r="E12" s="32">
        <v>5.6</v>
      </c>
      <c r="F12" s="35">
        <f>(((7.5+8+1.5)/100+1))*1.018*1.12</f>
        <v>1.3339872000000002</v>
      </c>
      <c r="G12" s="34">
        <f>ROUND((D12*E12*F12),2)</f>
        <v>646.92999999999995</v>
      </c>
      <c r="H12" s="34">
        <f>ROUND((0.8*G12*5.2*H17),2)*1000</f>
        <v>2365560</v>
      </c>
      <c r="I12" s="34">
        <f>ROUND((0.04*G12*4.58*H17)*1.09,2)*1000*0</f>
        <v>0</v>
      </c>
      <c r="J12" s="34">
        <f>ROUND((0*G12*14.98*H17)*1.09,2)*1000</f>
        <v>0</v>
      </c>
      <c r="K12" s="34">
        <f>ROUND((0.075*G12*4.27*H17),2)*1000*0.6-91.95+0.01</f>
        <v>109174.06</v>
      </c>
      <c r="L12" s="34">
        <f>ROUND((0.125*G12*5.2*H17),2)*1000</f>
        <v>369620</v>
      </c>
      <c r="M12" s="34">
        <f>SUM(H12:L12)</f>
        <v>2844354.06</v>
      </c>
    </row>
    <row r="13" spans="1:17" ht="13.8" x14ac:dyDescent="0.25">
      <c r="A13" s="122" t="s">
        <v>145</v>
      </c>
      <c r="B13" s="122"/>
      <c r="C13" s="122"/>
      <c r="D13" s="122"/>
      <c r="E13" s="122"/>
      <c r="F13" s="122"/>
      <c r="G13" s="122"/>
      <c r="H13" s="36">
        <f>H12</f>
        <v>2365560</v>
      </c>
      <c r="I13" s="36">
        <f t="shared" ref="I13:M14" si="0">I12</f>
        <v>0</v>
      </c>
      <c r="J13" s="36">
        <f>J12</f>
        <v>0</v>
      </c>
      <c r="K13" s="36">
        <f>K12</f>
        <v>109174.06</v>
      </c>
      <c r="L13" s="36">
        <f t="shared" si="0"/>
        <v>369620</v>
      </c>
      <c r="M13" s="36">
        <f t="shared" si="0"/>
        <v>2844354.06</v>
      </c>
    </row>
    <row r="14" spans="1:17" x14ac:dyDescent="0.25">
      <c r="A14" s="114" t="s">
        <v>146</v>
      </c>
      <c r="B14" s="114"/>
      <c r="C14" s="114"/>
      <c r="D14" s="114"/>
      <c r="E14" s="114"/>
      <c r="F14" s="114"/>
      <c r="G14" s="114"/>
      <c r="H14" s="34">
        <f>H13</f>
        <v>2365560</v>
      </c>
      <c r="I14" s="34">
        <f t="shared" si="0"/>
        <v>0</v>
      </c>
      <c r="J14" s="34">
        <f t="shared" si="0"/>
        <v>0</v>
      </c>
      <c r="K14" s="34">
        <f t="shared" si="0"/>
        <v>109174.06</v>
      </c>
      <c r="L14" s="34">
        <f t="shared" si="0"/>
        <v>369620</v>
      </c>
      <c r="M14" s="34">
        <f t="shared" si="0"/>
        <v>2844354.06</v>
      </c>
    </row>
    <row r="15" spans="1:17" x14ac:dyDescent="0.25">
      <c r="A15" s="114" t="s">
        <v>147</v>
      </c>
      <c r="B15" s="114"/>
      <c r="C15" s="114"/>
      <c r="D15" s="114"/>
      <c r="E15" s="114"/>
      <c r="F15" s="114"/>
      <c r="G15" s="114"/>
      <c r="H15" s="34">
        <f>ROUND((H14*0.2),2)</f>
        <v>473112</v>
      </c>
      <c r="I15" s="34">
        <f t="shared" ref="I15:J15" si="1">ROUND((I14*0.2),2)</f>
        <v>0</v>
      </c>
      <c r="J15" s="34">
        <f t="shared" si="1"/>
        <v>0</v>
      </c>
      <c r="K15" s="34">
        <f>ROUND((K14*0.2),2)</f>
        <v>21834.81</v>
      </c>
      <c r="L15" s="34">
        <f>ROUND((L14*0.2),2)</f>
        <v>73924</v>
      </c>
      <c r="M15" s="34">
        <f>SUM(H15:L15)</f>
        <v>568870.81000000006</v>
      </c>
      <c r="Q15" s="34"/>
    </row>
    <row r="16" spans="1:17" x14ac:dyDescent="0.25">
      <c r="A16" s="114" t="s">
        <v>148</v>
      </c>
      <c r="B16" s="114"/>
      <c r="C16" s="114"/>
      <c r="D16" s="114"/>
      <c r="E16" s="114"/>
      <c r="F16" s="114"/>
      <c r="G16" s="114"/>
      <c r="H16" s="37">
        <f>H14+H15</f>
        <v>2838672</v>
      </c>
      <c r="I16" s="37">
        <f t="shared" ref="I16:L16" si="2">I14+I15</f>
        <v>0</v>
      </c>
      <c r="J16" s="37">
        <f t="shared" si="2"/>
        <v>0</v>
      </c>
      <c r="K16" s="37">
        <f t="shared" si="2"/>
        <v>131008.87</v>
      </c>
      <c r="L16" s="37">
        <f t="shared" si="2"/>
        <v>443544</v>
      </c>
      <c r="M16" s="37">
        <f>SUM(H16:L16)</f>
        <v>3413224.87</v>
      </c>
    </row>
    <row r="17" spans="1:17" hidden="1" x14ac:dyDescent="0.25">
      <c r="A17" s="38"/>
      <c r="B17" s="38"/>
      <c r="C17" s="38"/>
      <c r="D17" s="38"/>
      <c r="E17" s="38"/>
      <c r="F17" s="38"/>
      <c r="G17" s="38"/>
      <c r="H17" s="40">
        <v>0.87899001798340004</v>
      </c>
      <c r="I17" s="39"/>
      <c r="J17" s="39"/>
      <c r="K17" s="39"/>
      <c r="L17" s="39"/>
      <c r="M17" s="39"/>
      <c r="Q17" s="51"/>
    </row>
    <row r="18" spans="1:17" x14ac:dyDescent="0.25">
      <c r="A18" s="40"/>
      <c r="B18" s="40" t="s">
        <v>149</v>
      </c>
      <c r="C18" s="40"/>
      <c r="D18" s="40"/>
      <c r="E18" s="40"/>
      <c r="F18" s="40"/>
      <c r="G18" s="40"/>
      <c r="I18" s="40"/>
      <c r="J18" s="40"/>
      <c r="K18" s="40"/>
      <c r="L18" s="40"/>
      <c r="M18" s="40"/>
    </row>
    <row r="19" spans="1:17" x14ac:dyDescent="0.25">
      <c r="A19" s="40"/>
      <c r="B19" s="115" t="s">
        <v>150</v>
      </c>
      <c r="C19" s="116"/>
      <c r="D19" s="116"/>
      <c r="E19" s="116"/>
      <c r="F19" s="116"/>
      <c r="G19" s="116"/>
      <c r="H19" s="116"/>
      <c r="I19" s="116"/>
      <c r="J19" s="116"/>
      <c r="K19" s="116"/>
      <c r="L19" s="116"/>
      <c r="M19" s="116"/>
    </row>
    <row r="20" spans="1:17" x14ac:dyDescent="0.25">
      <c r="A20" s="41"/>
      <c r="B20" s="41"/>
      <c r="C20" s="41"/>
      <c r="D20" s="41"/>
      <c r="E20" s="41"/>
      <c r="F20" s="41" t="s">
        <v>151</v>
      </c>
      <c r="G20" s="41"/>
      <c r="H20" s="41"/>
      <c r="I20" s="41"/>
      <c r="J20" s="41"/>
      <c r="K20" s="41"/>
      <c r="L20" s="41"/>
      <c r="M20" s="41"/>
      <c r="Q20" s="51"/>
    </row>
    <row r="21" spans="1:17" x14ac:dyDescent="0.25">
      <c r="A21" s="40"/>
      <c r="B21" s="40" t="s">
        <v>152</v>
      </c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</row>
    <row r="22" spans="1:17" x14ac:dyDescent="0.25">
      <c r="A22" s="40"/>
      <c r="B22" s="40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</row>
    <row r="23" spans="1:17" x14ac:dyDescent="0.25">
      <c r="A23" s="42">
        <v>1</v>
      </c>
      <c r="B23" s="43" t="s">
        <v>153</v>
      </c>
      <c r="C23" s="40"/>
      <c r="D23" s="40" t="s">
        <v>166</v>
      </c>
      <c r="E23" s="40"/>
      <c r="F23" s="40"/>
      <c r="G23" s="40"/>
      <c r="H23" s="40"/>
      <c r="I23" s="40"/>
      <c r="J23" s="40"/>
      <c r="K23" s="40"/>
      <c r="L23" s="40"/>
      <c r="M23" s="40"/>
    </row>
    <row r="24" spans="1:17" x14ac:dyDescent="0.25">
      <c r="A24" s="44" t="s">
        <v>154</v>
      </c>
      <c r="B24" s="40" t="s">
        <v>155</v>
      </c>
      <c r="C24" s="40"/>
      <c r="D24" s="23"/>
      <c r="E24" s="40"/>
      <c r="F24" s="40"/>
      <c r="G24" s="40"/>
      <c r="H24" s="40"/>
      <c r="I24" s="40"/>
      <c r="J24" s="40"/>
      <c r="K24" s="40"/>
      <c r="L24" s="40"/>
      <c r="M24" s="40"/>
    </row>
    <row r="25" spans="1:17" x14ac:dyDescent="0.25">
      <c r="A25" s="45" t="s">
        <v>156</v>
      </c>
      <c r="B25" s="40" t="s">
        <v>157</v>
      </c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</row>
    <row r="26" spans="1:17" x14ac:dyDescent="0.25">
      <c r="A26" s="45" t="s">
        <v>156</v>
      </c>
      <c r="B26" s="40" t="s">
        <v>158</v>
      </c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</row>
    <row r="27" spans="1:17" x14ac:dyDescent="0.25">
      <c r="A27" s="45" t="s">
        <v>156</v>
      </c>
      <c r="B27" s="40" t="s">
        <v>165</v>
      </c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</row>
    <row r="28" spans="1:17" x14ac:dyDescent="0.25">
      <c r="A28" s="44" t="s">
        <v>159</v>
      </c>
      <c r="B28" s="40" t="s">
        <v>160</v>
      </c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</row>
    <row r="29" spans="1:17" x14ac:dyDescent="0.25">
      <c r="A29" s="46" t="s">
        <v>156</v>
      </c>
      <c r="B29" s="40" t="s">
        <v>161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</row>
    <row r="30" spans="1:17" x14ac:dyDescent="0.25">
      <c r="A30" s="46" t="s">
        <v>156</v>
      </c>
      <c r="B30" s="47" t="s">
        <v>162</v>
      </c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</row>
    <row r="31" spans="1:17" ht="15.6" x14ac:dyDescent="0.3">
      <c r="A31" s="23"/>
      <c r="B31" s="30"/>
      <c r="C31" s="30"/>
      <c r="D31" s="30"/>
      <c r="E31" s="30"/>
      <c r="F31" s="30"/>
      <c r="G31" s="30"/>
      <c r="H31" s="30"/>
      <c r="I31" s="30"/>
      <c r="J31" s="23"/>
      <c r="K31" s="23"/>
      <c r="L31" s="23"/>
      <c r="M31" s="23"/>
    </row>
    <row r="32" spans="1:17" ht="15.6" x14ac:dyDescent="0.3">
      <c r="A32" s="49"/>
      <c r="B32" s="50"/>
      <c r="C32" s="50"/>
      <c r="D32" s="50"/>
      <c r="E32" s="50"/>
      <c r="F32" s="50"/>
      <c r="I32" s="50"/>
      <c r="J32" s="50"/>
      <c r="K32" s="50"/>
      <c r="L32" s="49"/>
      <c r="M32" s="49"/>
    </row>
    <row r="33" spans="1:13" ht="15.6" x14ac:dyDescent="0.3">
      <c r="A33" s="49"/>
      <c r="B33" s="50"/>
      <c r="C33" s="50"/>
      <c r="D33" s="50"/>
      <c r="E33" s="50"/>
      <c r="F33" s="50"/>
      <c r="I33" s="50"/>
      <c r="J33" s="50"/>
      <c r="K33" s="50"/>
      <c r="L33" s="49"/>
      <c r="M33" s="49"/>
    </row>
    <row r="34" spans="1:13" ht="15.6" x14ac:dyDescent="0.3">
      <c r="A34" s="49"/>
      <c r="B34" s="50"/>
      <c r="C34" s="50"/>
      <c r="D34" s="50"/>
      <c r="E34" s="50"/>
      <c r="F34" s="50"/>
      <c r="I34" s="50"/>
      <c r="J34" s="50"/>
      <c r="K34" s="50"/>
      <c r="L34" s="49"/>
      <c r="M34" s="49"/>
    </row>
    <row r="35" spans="1:13" ht="15.6" x14ac:dyDescent="0.3">
      <c r="A35" s="49"/>
      <c r="B35" s="50"/>
      <c r="C35" s="50"/>
      <c r="D35" s="50"/>
      <c r="E35" s="50"/>
      <c r="F35" s="50"/>
      <c r="I35" s="50"/>
      <c r="J35" s="50"/>
      <c r="K35" s="50"/>
      <c r="L35" s="49"/>
      <c r="M35" s="49"/>
    </row>
    <row r="36" spans="1:13" ht="15.6" x14ac:dyDescent="0.3">
      <c r="A36" s="49"/>
      <c r="B36" s="50"/>
      <c r="C36" s="50"/>
      <c r="D36" s="50"/>
      <c r="E36" s="50"/>
      <c r="F36" s="50"/>
      <c r="I36" s="50"/>
      <c r="J36" s="50"/>
      <c r="K36" s="50"/>
      <c r="L36" s="49"/>
      <c r="M36" s="49"/>
    </row>
    <row r="37" spans="1:13" ht="15.6" x14ac:dyDescent="0.3">
      <c r="A37" s="49"/>
      <c r="B37" s="50"/>
      <c r="C37" s="50"/>
      <c r="D37" s="50"/>
      <c r="E37" s="50"/>
      <c r="F37" s="50"/>
      <c r="I37" s="50"/>
      <c r="J37" s="50"/>
      <c r="K37" s="50"/>
      <c r="L37" s="49"/>
      <c r="M37" s="49"/>
    </row>
    <row r="38" spans="1:13" ht="15.6" x14ac:dyDescent="0.3">
      <c r="A38" s="26"/>
      <c r="B38" s="30"/>
      <c r="C38" s="26"/>
      <c r="D38" s="26"/>
      <c r="E38" s="26"/>
      <c r="F38" s="26"/>
      <c r="I38" s="26"/>
      <c r="J38" s="30"/>
      <c r="K38" s="26"/>
      <c r="L38" s="26"/>
      <c r="M38" s="26"/>
    </row>
  </sheetData>
  <mergeCells count="18">
    <mergeCell ref="A16:G16"/>
    <mergeCell ref="B19:M19"/>
    <mergeCell ref="H9:L9"/>
    <mergeCell ref="M9:M10"/>
    <mergeCell ref="A11:M11"/>
    <mergeCell ref="A13:G13"/>
    <mergeCell ref="A14:G14"/>
    <mergeCell ref="A15:G15"/>
    <mergeCell ref="A1:M1"/>
    <mergeCell ref="A3:M3"/>
    <mergeCell ref="A5:L5"/>
    <mergeCell ref="A9:A10"/>
    <mergeCell ref="B9:B10"/>
    <mergeCell ref="C9:C10"/>
    <mergeCell ref="D9:D10"/>
    <mergeCell ref="E9:E10"/>
    <mergeCell ref="F9:F10"/>
    <mergeCell ref="G9:G10"/>
  </mergeCells>
  <pageMargins left="0.7" right="0.7" top="0.75" bottom="0.75" header="0.3" footer="0.3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1</vt:lpstr>
      <vt:lpstr>МРСК</vt:lpstr>
      <vt:lpstr>'1'!Заголовки_для_печати</vt:lpstr>
      <vt:lpstr>'1'!Область_печати</vt:lpstr>
      <vt:lpstr>МРСК!Область_печати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Ларионова Людмила Васильевна</dc:creator>
  <cp:lastModifiedBy>Чуясова Елена Геннадьевна</cp:lastModifiedBy>
  <cp:lastPrinted>2020-01-20T01:59:51Z</cp:lastPrinted>
  <dcterms:created xsi:type="dcterms:W3CDTF">2002-03-25T05:35:56Z</dcterms:created>
  <dcterms:modified xsi:type="dcterms:W3CDTF">2020-01-28T23:15:31Z</dcterms:modified>
</cp:coreProperties>
</file>