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2735" windowHeight="11160"/>
  </bookViews>
  <sheets>
    <sheet name="Протокол согласования" sheetId="10" r:id="rId1"/>
    <sheet name="Протокол ВЛ-10" sheetId="5" r:id="rId2"/>
    <sheet name="Протокол ВЛ-0,4" sheetId="6" r:id="rId3"/>
    <sheet name="Протокол МТП, ТП, СТП" sheetId="2" r:id="rId4"/>
    <sheet name="ПИРы" sheetId="9" r:id="rId5"/>
  </sheets>
  <definedNames>
    <definedName name="_xlnm._FilterDatabase" localSheetId="3" hidden="1">'Протокол МТП, ТП, СТП'!$A$16:$F$22</definedName>
    <definedName name="_xlnm.Print_Area" localSheetId="4">ПИРы!$A$1:$N$30</definedName>
    <definedName name="_xlnm.Print_Area" localSheetId="2">'Протокол ВЛ-0,4'!$A$1:$N$94</definedName>
    <definedName name="_xlnm.Print_Area" localSheetId="1">'Протокол ВЛ-10'!$A$1:$M$113</definedName>
    <definedName name="_xlnm.Print_Area" localSheetId="0">'Протокол согласования'!$A$1:$F$37</definedName>
  </definedNames>
  <calcPr calcId="162913"/>
</workbook>
</file>

<file path=xl/calcChain.xml><?xml version="1.0" encoding="utf-8"?>
<calcChain xmlns="http://schemas.openxmlformats.org/spreadsheetml/2006/main">
  <c r="F27" i="10" l="1"/>
  <c r="I39" i="5" l="1"/>
  <c r="I69" i="5"/>
  <c r="I57" i="6"/>
  <c r="I70" i="6"/>
  <c r="I69" i="6"/>
  <c r="I68" i="6"/>
  <c r="I67" i="6"/>
  <c r="I66" i="6"/>
  <c r="I60" i="6"/>
  <c r="I51" i="6"/>
  <c r="I50" i="6"/>
  <c r="I47" i="6"/>
  <c r="I46" i="6"/>
  <c r="I43" i="6"/>
  <c r="I41" i="6"/>
  <c r="I40" i="6"/>
  <c r="I39" i="6"/>
  <c r="I38" i="6"/>
  <c r="I34" i="6"/>
  <c r="I33" i="6"/>
  <c r="I32" i="6"/>
  <c r="I31" i="6"/>
  <c r="I30" i="6"/>
  <c r="I28" i="6"/>
  <c r="J67" i="6"/>
  <c r="J66" i="6"/>
  <c r="I45" i="6"/>
  <c r="K67" i="6"/>
  <c r="K66" i="6"/>
  <c r="K35" i="6"/>
  <c r="J35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8" i="6"/>
  <c r="K69" i="6"/>
  <c r="K70" i="6"/>
  <c r="K71" i="6"/>
  <c r="K72" i="6"/>
  <c r="K37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38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23" i="5"/>
  <c r="I89" i="5"/>
  <c r="I88" i="5"/>
  <c r="I87" i="5"/>
  <c r="I86" i="5"/>
  <c r="I85" i="5"/>
  <c r="I84" i="5"/>
  <c r="I81" i="5"/>
  <c r="I75" i="5"/>
  <c r="I74" i="5"/>
  <c r="J74" i="5" s="1"/>
  <c r="L74" i="5" s="1"/>
  <c r="M74" i="5" s="1"/>
  <c r="I73" i="5"/>
  <c r="I72" i="5"/>
  <c r="I71" i="5"/>
  <c r="I70" i="5"/>
  <c r="I68" i="5"/>
  <c r="I67" i="5"/>
  <c r="I66" i="5"/>
  <c r="I57" i="5"/>
  <c r="I56" i="5"/>
  <c r="I53" i="5"/>
  <c r="I52" i="5"/>
  <c r="I49" i="5"/>
  <c r="I48" i="5"/>
  <c r="I47" i="5"/>
  <c r="I46" i="5"/>
  <c r="I45" i="5"/>
  <c r="I44" i="5"/>
  <c r="I43" i="5"/>
  <c r="I42" i="5"/>
  <c r="I40" i="5"/>
  <c r="I38" i="5"/>
  <c r="I41" i="5"/>
  <c r="I50" i="5"/>
  <c r="I51" i="5"/>
  <c r="I54" i="5"/>
  <c r="I55" i="5"/>
  <c r="I58" i="5"/>
  <c r="I59" i="5"/>
  <c r="I60" i="5"/>
  <c r="I61" i="5"/>
  <c r="I62" i="5"/>
  <c r="I63" i="5"/>
  <c r="I64" i="5"/>
  <c r="I65" i="5"/>
  <c r="I36" i="5"/>
  <c r="I35" i="5"/>
  <c r="I34" i="5"/>
  <c r="I80" i="5"/>
  <c r="I79" i="5"/>
  <c r="I78" i="5"/>
  <c r="I77" i="5"/>
  <c r="I76" i="5"/>
  <c r="I37" i="5"/>
  <c r="I33" i="5"/>
  <c r="I32" i="5"/>
  <c r="I31" i="5"/>
  <c r="A17" i="5"/>
  <c r="H16" i="6"/>
  <c r="J19" i="9"/>
  <c r="K23" i="9"/>
  <c r="K22" i="9"/>
  <c r="K21" i="9"/>
  <c r="K20" i="9"/>
  <c r="L67" i="6" l="1"/>
  <c r="M67" i="6" s="1"/>
  <c r="L66" i="6"/>
  <c r="M66" i="6" s="1"/>
  <c r="L35" i="6"/>
  <c r="M35" i="6" s="1"/>
  <c r="F21" i="2"/>
  <c r="I22" i="9"/>
  <c r="J50" i="5" l="1"/>
  <c r="L23" i="5"/>
  <c r="M23" i="5" s="1"/>
  <c r="J24" i="5"/>
  <c r="L24" i="5" s="1"/>
  <c r="J25" i="5"/>
  <c r="L25" i="5" s="1"/>
  <c r="J26" i="5"/>
  <c r="L26" i="5" s="1"/>
  <c r="J27" i="5"/>
  <c r="L27" i="5" s="1"/>
  <c r="J28" i="5"/>
  <c r="L28" i="5" s="1"/>
  <c r="J29" i="5"/>
  <c r="L29" i="5" s="1"/>
  <c r="J30" i="5"/>
  <c r="L30" i="5" s="1"/>
  <c r="J31" i="5"/>
  <c r="L31" i="5" s="1"/>
  <c r="J34" i="5"/>
  <c r="L34" i="5" s="1"/>
  <c r="J37" i="5"/>
  <c r="L37" i="5" s="1"/>
  <c r="J38" i="5"/>
  <c r="L38" i="5" s="1"/>
  <c r="J39" i="5"/>
  <c r="L39" i="5" s="1"/>
  <c r="J41" i="5"/>
  <c r="L41" i="5" s="1"/>
  <c r="J43" i="5"/>
  <c r="L43" i="5" s="1"/>
  <c r="J45" i="5"/>
  <c r="L45" i="5" s="1"/>
  <c r="J47" i="5"/>
  <c r="L47" i="5" s="1"/>
  <c r="J49" i="5"/>
  <c r="L49" i="5" s="1"/>
  <c r="J51" i="5"/>
  <c r="L51" i="5" s="1"/>
  <c r="J54" i="5"/>
  <c r="L54" i="5" s="1"/>
  <c r="J55" i="5"/>
  <c r="L55" i="5" s="1"/>
  <c r="J56" i="5"/>
  <c r="L56" i="5" s="1"/>
  <c r="J58" i="5"/>
  <c r="L58" i="5" s="1"/>
  <c r="J59" i="5"/>
  <c r="L59" i="5" s="1"/>
  <c r="J60" i="5"/>
  <c r="L60" i="5" s="1"/>
  <c r="J61" i="5"/>
  <c r="L61" i="5" s="1"/>
  <c r="J62" i="5"/>
  <c r="L62" i="5" s="1"/>
  <c r="J63" i="5"/>
  <c r="L63" i="5" s="1"/>
  <c r="J64" i="5"/>
  <c r="L64" i="5" s="1"/>
  <c r="J65" i="5"/>
  <c r="L65" i="5" s="1"/>
  <c r="J68" i="5"/>
  <c r="L68" i="5" s="1"/>
  <c r="J69" i="5"/>
  <c r="L69" i="5" s="1"/>
  <c r="J70" i="5"/>
  <c r="L70" i="5" s="1"/>
  <c r="J71" i="5"/>
  <c r="L71" i="5" s="1"/>
  <c r="J72" i="5"/>
  <c r="L72" i="5" s="1"/>
  <c r="J73" i="5"/>
  <c r="L73" i="5" s="1"/>
  <c r="J75" i="5"/>
  <c r="L75" i="5" s="1"/>
  <c r="J76" i="5"/>
  <c r="L76" i="5" s="1"/>
  <c r="J77" i="5"/>
  <c r="L77" i="5" s="1"/>
  <c r="J78" i="5"/>
  <c r="L78" i="5" s="1"/>
  <c r="J79" i="5"/>
  <c r="L79" i="5" s="1"/>
  <c r="J80" i="5"/>
  <c r="L80" i="5" s="1"/>
  <c r="J81" i="5"/>
  <c r="L81" i="5" s="1"/>
  <c r="J84" i="5"/>
  <c r="L84" i="5" s="1"/>
  <c r="J85" i="5"/>
  <c r="L85" i="5" s="1"/>
  <c r="J88" i="5"/>
  <c r="L88" i="5" s="1"/>
  <c r="J89" i="5"/>
  <c r="L89" i="5" s="1"/>
  <c r="J23" i="5"/>
  <c r="J87" i="5"/>
  <c r="L87" i="5" s="1"/>
  <c r="J86" i="5"/>
  <c r="L86" i="5" s="1"/>
  <c r="I83" i="5"/>
  <c r="J83" i="5" s="1"/>
  <c r="L83" i="5" s="1"/>
  <c r="I82" i="5"/>
  <c r="J82" i="5" s="1"/>
  <c r="L82" i="5" s="1"/>
  <c r="J67" i="5"/>
  <c r="L67" i="5" s="1"/>
  <c r="J66" i="5"/>
  <c r="L66" i="5" s="1"/>
  <c r="J57" i="5"/>
  <c r="L57" i="5" s="1"/>
  <c r="J53" i="5"/>
  <c r="L53" i="5" s="1"/>
  <c r="J52" i="5"/>
  <c r="L52" i="5" s="1"/>
  <c r="J48" i="5"/>
  <c r="L48" i="5" s="1"/>
  <c r="J46" i="5"/>
  <c r="L46" i="5" s="1"/>
  <c r="J44" i="5"/>
  <c r="L44" i="5" s="1"/>
  <c r="J42" i="5"/>
  <c r="L42" i="5" s="1"/>
  <c r="J40" i="5"/>
  <c r="L40" i="5" s="1"/>
  <c r="J36" i="5"/>
  <c r="L36" i="5" s="1"/>
  <c r="J35" i="5"/>
  <c r="L35" i="5" s="1"/>
  <c r="J33" i="5"/>
  <c r="L33" i="5" s="1"/>
  <c r="J32" i="5"/>
  <c r="L32" i="5" s="1"/>
  <c r="F22" i="2"/>
  <c r="F23" i="2"/>
  <c r="F24" i="2"/>
  <c r="F25" i="2"/>
  <c r="F26" i="2"/>
  <c r="F20" i="2"/>
  <c r="L50" i="5" l="1"/>
  <c r="J90" i="5"/>
  <c r="M24" i="5"/>
  <c r="J70" i="6" l="1"/>
  <c r="L70" i="6" s="1"/>
  <c r="M70" i="6" s="1"/>
  <c r="J23" i="9" l="1"/>
  <c r="L23" i="9" s="1"/>
  <c r="M23" i="9" s="1"/>
  <c r="J22" i="9"/>
  <c r="L22" i="9" s="1"/>
  <c r="M22" i="9" s="1"/>
  <c r="J21" i="9"/>
  <c r="L21" i="9" s="1"/>
  <c r="M21" i="9" s="1"/>
  <c r="J20" i="9"/>
  <c r="L20" i="9" s="1"/>
  <c r="M20" i="9" s="1"/>
  <c r="L19" i="9"/>
  <c r="M19" i="9" s="1"/>
  <c r="M24" i="9" l="1"/>
  <c r="J72" i="6" l="1"/>
  <c r="L72" i="6" s="1"/>
  <c r="M72" i="6" s="1"/>
  <c r="J71" i="6"/>
  <c r="L71" i="6" s="1"/>
  <c r="M71" i="6" s="1"/>
  <c r="J69" i="6"/>
  <c r="L69" i="6" s="1"/>
  <c r="M69" i="6" s="1"/>
  <c r="J68" i="6"/>
  <c r="L68" i="6" s="1"/>
  <c r="M68" i="6" s="1"/>
  <c r="J65" i="6"/>
  <c r="L65" i="6" s="1"/>
  <c r="M65" i="6" s="1"/>
  <c r="J64" i="6"/>
  <c r="L64" i="6" s="1"/>
  <c r="M64" i="6" s="1"/>
  <c r="J63" i="6"/>
  <c r="L63" i="6" s="1"/>
  <c r="M63" i="6" s="1"/>
  <c r="J62" i="6"/>
  <c r="L62" i="6" s="1"/>
  <c r="M62" i="6" s="1"/>
  <c r="J61" i="6"/>
  <c r="L61" i="6" s="1"/>
  <c r="M61" i="6" s="1"/>
  <c r="J60" i="6"/>
  <c r="L60" i="6" s="1"/>
  <c r="M60" i="6" s="1"/>
  <c r="J59" i="6"/>
  <c r="L59" i="6" s="1"/>
  <c r="M59" i="6" s="1"/>
  <c r="J58" i="6"/>
  <c r="L58" i="6" s="1"/>
  <c r="M58" i="6" s="1"/>
  <c r="J57" i="6"/>
  <c r="L57" i="6" s="1"/>
  <c r="M57" i="6" s="1"/>
  <c r="M84" i="6" s="1"/>
  <c r="J56" i="6"/>
  <c r="J55" i="6"/>
  <c r="J54" i="6"/>
  <c r="L54" i="6" s="1"/>
  <c r="M54" i="6" s="1"/>
  <c r="J53" i="6"/>
  <c r="L53" i="6" s="1"/>
  <c r="M53" i="6" s="1"/>
  <c r="J52" i="6"/>
  <c r="L52" i="6" s="1"/>
  <c r="M52" i="6" s="1"/>
  <c r="J51" i="6"/>
  <c r="L51" i="6" s="1"/>
  <c r="M51" i="6" s="1"/>
  <c r="J50" i="6"/>
  <c r="L50" i="6" s="1"/>
  <c r="M50" i="6" s="1"/>
  <c r="J49" i="6"/>
  <c r="L49" i="6" s="1"/>
  <c r="M49" i="6" s="1"/>
  <c r="J48" i="6"/>
  <c r="L48" i="6" s="1"/>
  <c r="M48" i="6" s="1"/>
  <c r="J46" i="6"/>
  <c r="L46" i="6" s="1"/>
  <c r="M46" i="6" s="1"/>
  <c r="J45" i="6"/>
  <c r="L45" i="6" s="1"/>
  <c r="M45" i="6" s="1"/>
  <c r="J44" i="6"/>
  <c r="L44" i="6" s="1"/>
  <c r="M44" i="6" s="1"/>
  <c r="J43" i="6"/>
  <c r="L43" i="6" s="1"/>
  <c r="M43" i="6" s="1"/>
  <c r="J42" i="6"/>
  <c r="L42" i="6" s="1"/>
  <c r="M42" i="6" s="1"/>
  <c r="J41" i="6"/>
  <c r="L41" i="6" s="1"/>
  <c r="M41" i="6" s="1"/>
  <c r="J40" i="6"/>
  <c r="L40" i="6" s="1"/>
  <c r="M40" i="6" s="1"/>
  <c r="J39" i="6"/>
  <c r="L39" i="6" s="1"/>
  <c r="M39" i="6" s="1"/>
  <c r="J38" i="6"/>
  <c r="L38" i="6" s="1"/>
  <c r="M38" i="6" s="1"/>
  <c r="J37" i="6"/>
  <c r="L37" i="6" s="1"/>
  <c r="M37" i="6" s="1"/>
  <c r="J34" i="6"/>
  <c r="L34" i="6" s="1"/>
  <c r="M34" i="6" s="1"/>
  <c r="J33" i="6"/>
  <c r="L33" i="6" s="1"/>
  <c r="M33" i="6" s="1"/>
  <c r="J32" i="6"/>
  <c r="L32" i="6" s="1"/>
  <c r="M32" i="6" s="1"/>
  <c r="J31" i="6"/>
  <c r="L31" i="6" s="1"/>
  <c r="M31" i="6" s="1"/>
  <c r="J30" i="6"/>
  <c r="L30" i="6" s="1"/>
  <c r="M30" i="6" s="1"/>
  <c r="J29" i="6"/>
  <c r="L29" i="6" s="1"/>
  <c r="M29" i="6" s="1"/>
  <c r="J28" i="6"/>
  <c r="L28" i="6" s="1"/>
  <c r="M28" i="6" s="1"/>
  <c r="J27" i="6"/>
  <c r="L27" i="6" s="1"/>
  <c r="M27" i="6" s="1"/>
  <c r="J26" i="6"/>
  <c r="L26" i="6" s="1"/>
  <c r="M26" i="6" s="1"/>
  <c r="J25" i="6"/>
  <c r="L25" i="6" s="1"/>
  <c r="M25" i="6" s="1"/>
  <c r="J24" i="6"/>
  <c r="L24" i="6" s="1"/>
  <c r="M24" i="6" s="1"/>
  <c r="J23" i="6"/>
  <c r="L23" i="6" s="1"/>
  <c r="M23" i="6" s="1"/>
  <c r="J22" i="6"/>
  <c r="L22" i="6" s="1"/>
  <c r="M22" i="6" s="1"/>
  <c r="L56" i="6" l="1"/>
  <c r="M56" i="6" s="1"/>
  <c r="M83" i="6" s="1"/>
  <c r="L55" i="6"/>
  <c r="M55" i="6" s="1"/>
  <c r="M82" i="6" s="1"/>
  <c r="M75" i="6"/>
  <c r="M86" i="6"/>
  <c r="M76" i="6"/>
  <c r="M80" i="6"/>
  <c r="M77" i="6"/>
  <c r="M78" i="6"/>
  <c r="M79" i="6"/>
  <c r="M85" i="6"/>
  <c r="M81" i="6"/>
  <c r="J36" i="6"/>
  <c r="L36" i="6" s="1"/>
  <c r="M36" i="6" s="1"/>
  <c r="J47" i="6"/>
  <c r="L47" i="6" l="1"/>
  <c r="M47" i="6" s="1"/>
  <c r="M73" i="6" s="1"/>
  <c r="M87" i="5"/>
  <c r="M80" i="5"/>
  <c r="M79" i="5"/>
  <c r="M78" i="5"/>
  <c r="M77" i="5"/>
  <c r="M76" i="5"/>
  <c r="M75" i="5"/>
  <c r="M73" i="5"/>
  <c r="M72" i="5"/>
  <c r="M71" i="5"/>
  <c r="M70" i="5"/>
  <c r="M69" i="5"/>
  <c r="M68" i="5"/>
  <c r="M67" i="5"/>
  <c r="M66" i="5"/>
  <c r="M40" i="5"/>
  <c r="M26" i="5"/>
  <c r="M25" i="5"/>
  <c r="M95" i="5" l="1"/>
  <c r="M87" i="6"/>
  <c r="M32" i="5"/>
  <c r="M35" i="5"/>
  <c r="M36" i="5"/>
  <c r="M37" i="5"/>
  <c r="M38" i="5"/>
  <c r="M41" i="5"/>
  <c r="M42" i="5"/>
  <c r="M43" i="5"/>
  <c r="M44" i="5"/>
  <c r="M45" i="5"/>
  <c r="M46" i="5"/>
  <c r="M47" i="5"/>
  <c r="M48" i="5"/>
  <c r="M49" i="5"/>
  <c r="M50" i="5"/>
  <c r="M88" i="5"/>
  <c r="M89" i="5"/>
  <c r="M27" i="5"/>
  <c r="M92" i="5" s="1"/>
  <c r="M28" i="5"/>
  <c r="M93" i="5" s="1"/>
  <c r="M29" i="5"/>
  <c r="M94" i="5" s="1"/>
  <c r="M30" i="5"/>
  <c r="M31" i="5"/>
  <c r="M33" i="5"/>
  <c r="M39" i="5"/>
  <c r="M57" i="5"/>
  <c r="M58" i="5"/>
  <c r="M105" i="5" s="1"/>
  <c r="M59" i="5"/>
  <c r="M98" i="5" s="1"/>
  <c r="M60" i="5"/>
  <c r="M99" i="5" s="1"/>
  <c r="M61" i="5"/>
  <c r="M100" i="5" s="1"/>
  <c r="M62" i="5"/>
  <c r="M101" i="5" s="1"/>
  <c r="M63" i="5"/>
  <c r="M102" i="5" s="1"/>
  <c r="M64" i="5"/>
  <c r="M65" i="5"/>
  <c r="M81" i="5"/>
  <c r="M82" i="5"/>
  <c r="M83" i="5"/>
  <c r="M84" i="5"/>
  <c r="M85" i="5"/>
  <c r="M86" i="5"/>
  <c r="M34" i="5"/>
  <c r="M96" i="5" l="1"/>
  <c r="M55" i="5"/>
  <c r="M51" i="5"/>
  <c r="M54" i="5"/>
  <c r="M53" i="5"/>
  <c r="M103" i="5"/>
  <c r="M97" i="5"/>
  <c r="M56" i="5"/>
  <c r="M52" i="5"/>
  <c r="M104" i="5"/>
  <c r="M90" i="5" l="1"/>
  <c r="M106" i="5"/>
</calcChain>
</file>

<file path=xl/sharedStrings.xml><?xml version="1.0" encoding="utf-8"?>
<sst xmlns="http://schemas.openxmlformats.org/spreadsheetml/2006/main" count="584" uniqueCount="305">
  <si>
    <t>№ п/п</t>
  </si>
  <si>
    <t>Ед. изм.</t>
  </si>
  <si>
    <t xml:space="preserve">Выправка жб опоры одностоечной  </t>
  </si>
  <si>
    <t xml:space="preserve">Демонтаж жб опоры одностоечной  </t>
  </si>
  <si>
    <t>Демонтаж жб опоры с подкосом</t>
  </si>
  <si>
    <t>Демонтаж жб опоры одностоечной с двумя подкосами</t>
  </si>
  <si>
    <t>Проводник заземляющий открыто по строительным основаниям: из круглой стали диаметром 12 мм</t>
  </si>
  <si>
    <t>Заземлитель вертикальный из угловой стали размером: 50х50х5 мм</t>
  </si>
  <si>
    <t>Заземлитель горизонтальный из стали: полосовой сечением 160 мм2</t>
  </si>
  <si>
    <t>Определение и закрепление мест установки опор по трассам ВЛ</t>
  </si>
  <si>
    <t>Валка деревьев, трелевка древесина, обрезка крон</t>
  </si>
  <si>
    <t>Установка жб опоры 0,4 кВ одностоечная</t>
  </si>
  <si>
    <t>Установка жб опоры 0,4 кВ одностоечная с 1 подкосом</t>
  </si>
  <si>
    <t>Установка жб опоры 0,4 кВ одностоечная с 2 подкосами</t>
  </si>
  <si>
    <t>Подвеска провода 0,4 кВ (СИП-2 3х70+1х54,6-0,6/1,0)</t>
  </si>
  <si>
    <t>Подвеска провода 0,4 кВ (СИП-2 3х50+1х54,6-0,6/1,0)</t>
  </si>
  <si>
    <t>Демонтаж провода 0,4 кВ</t>
  </si>
  <si>
    <t>1 шт.</t>
  </si>
  <si>
    <t>Составил: Ведущий инженер ОКСиИ ___________________________ Казаков В.В.</t>
  </si>
  <si>
    <t>(должность, подпись, расшифровка)</t>
  </si>
  <si>
    <t>к техническому заданию договора</t>
  </si>
  <si>
    <t>ПРОТОКОЛ СОГЛАСОВАНИЯ (ВЕДОМОСТЬ)</t>
  </si>
  <si>
    <t>ДОГОВОРНОЙ ЦЕНЫ</t>
  </si>
  <si>
    <t>Коэффициенты, учитывающие  прогнозные цены и  лимитированные затраты:</t>
  </si>
  <si>
    <t>Обоснование</t>
  </si>
  <si>
    <t>Вид работ</t>
  </si>
  <si>
    <t>Договорная цена (без НДС)</t>
  </si>
  <si>
    <t>ЛСР №3</t>
  </si>
  <si>
    <t>ЛСР №4</t>
  </si>
  <si>
    <t>ЛСР №5</t>
  </si>
  <si>
    <t>Приложение №1</t>
  </si>
  <si>
    <t>к техническому задание договора</t>
  </si>
  <si>
    <t>№ ___ от "_____№ _______________ г.</t>
  </si>
  <si>
    <t>"Строительство, демонтаж  ВЛ-6 (10) кВ на единицу объема"</t>
  </si>
  <si>
    <t>Коэффициенты, учитывающие прогнозные цены  и лимитированные затраты</t>
  </si>
  <si>
    <t>для пусконаладочных работ</t>
  </si>
  <si>
    <t>№. поз.</t>
  </si>
  <si>
    <t>Шифр и № расценки</t>
  </si>
  <si>
    <t>Наименование работ</t>
  </si>
  <si>
    <t>Еденица измерения</t>
  </si>
  <si>
    <t>Количество</t>
  </si>
  <si>
    <t>Цена за ед. изм</t>
  </si>
  <si>
    <t>Стоимость, руб.</t>
  </si>
  <si>
    <t>К или К1</t>
  </si>
  <si>
    <t>Договорная цена, руб. (без НДС)</t>
  </si>
  <si>
    <t>Траверса на опоре</t>
  </si>
  <si>
    <t>Развозка конструкций и материалов опор ВЛ 0,38-10 кВ по трассе: одностоечных железобетонных опор</t>
  </si>
  <si>
    <t>Развозка конструкций и материалов опор ВЛ 0,38-10 кВ по трассе: материалов оснастки одностоечных опор</t>
  </si>
  <si>
    <t>Развозка конструкций и материалов опор ВЛ 0,38-10 кВ по трассе: материалов оснастки сложных опор</t>
  </si>
  <si>
    <t>Установка железобетонных опор ВЛ 0,38; 6-10 кВ с траверсами без приставок: одностоечных</t>
  </si>
  <si>
    <t>Установка железобетонных опор ВЛ 0,38; 6-10 кВ с траверсами без приставок: одностоечных с одним подкосом</t>
  </si>
  <si>
    <t>Установка железобетонных опор ВЛ 0,38; 6-10 кВ с траверсами без приставок: одностоечных с двумя подкосами</t>
  </si>
  <si>
    <t>Установка разъединителей: с помощью механизмов</t>
  </si>
  <si>
    <t>Измерение сопротивления растеканию тока: контура с диагональю до 20 м</t>
  </si>
  <si>
    <t>Присоединение к зажимам жил проводов или кабелей сечением: до 70 мм2</t>
  </si>
  <si>
    <t>Подвеска проводов ВЛ 6-10 кВ в ненаселенной местности сечением: свыше 35 мм2 с помощью механизмов</t>
  </si>
  <si>
    <t>При увеличении количества опор на 1 км ВЛ добавлять: к расценке 33-04-009-02</t>
  </si>
  <si>
    <t>Установка разрядников: с помощью механизмов</t>
  </si>
  <si>
    <t>Разработка грунта вручную с креплениями в траншеях шириной до 2 м, глубиной: до 2 м, группа грунтов 3</t>
  </si>
  <si>
    <t>Засыпка вручную траншей, пазух котлованов и ям, группа грунтов: 2</t>
  </si>
  <si>
    <t>Расчистка площадей от кустарника и мелколесья вручную: при средней поросли</t>
  </si>
  <si>
    <t>Обрезка и прореживание крон деревьев: при диаметре ствола до 250 мм, количеством срезов 15-20</t>
  </si>
  <si>
    <t>Установка упора П-образного укоса</t>
  </si>
  <si>
    <t>Справочник базовых цен на инженерно-геодезические изыскания для строительства СБЦ</t>
  </si>
  <si>
    <t>Выправка железобетонных опор ВЛ 0,38; 6-10 кВ с траверсами без приставок: одностоечных</t>
  </si>
  <si>
    <t>Демонтаж опор ВЛ 0,38-10 кВ: без приставок одностоечных</t>
  </si>
  <si>
    <t>Демонтаж опор ВЛ 0,38-10 кВ: без приставок одностоечных с подкосом</t>
  </si>
  <si>
    <t>Демонтаж опор ВЛ 0,38-10 кВ: без приставок одностоечных с двумя подкосами</t>
  </si>
  <si>
    <t>шт</t>
  </si>
  <si>
    <t>Итого</t>
  </si>
  <si>
    <t>в т.ч. по конструктивным решениям</t>
  </si>
  <si>
    <t>"Строительство, демонтаж  ВЛ-0,4 кВ на единицу объема"</t>
  </si>
  <si>
    <t xml:space="preserve">Заземлитель горизонтальный из стали: полосовой сечением 160 мм2
</t>
  </si>
  <si>
    <t xml:space="preserve">Засыпка вручную траншей, пазух котлованов и ям, группа грунтов: 2
</t>
  </si>
  <si>
    <t>Ввод гибкий, наружный диаметр металлорукава: до 60 мм</t>
  </si>
  <si>
    <t>Демонтаж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</si>
  <si>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Узел крепления подкоса У-3</t>
  </si>
  <si>
    <t>Плашечный зажим CD 35</t>
  </si>
  <si>
    <t>Хомут стяжной (СИП) Е778</t>
  </si>
  <si>
    <t>Скрепа размером 20 мм NC20 (СИП)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</si>
  <si>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</si>
  <si>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Зажим РС-481</t>
  </si>
  <si>
    <t>Смесь песчано-гравийная природная</t>
  </si>
  <si>
    <t>Выключатели автоматические: ВА51-35-34-0010-20 I-250А</t>
  </si>
  <si>
    <t>поставка МТР подрядчиком</t>
  </si>
  <si>
    <t>Коэффициент, учитывающий условия производства работ и лимитированные затраты</t>
  </si>
  <si>
    <t>для пусконаладочных  работ</t>
  </si>
  <si>
    <t>для строительно-монтажных и демонтажных работ:</t>
  </si>
  <si>
    <t>"Разработка проектно-сметной документации на единицу объема"</t>
  </si>
  <si>
    <t>Раздел 1. Разработка проектно-сметной документации</t>
  </si>
  <si>
    <t>Справочник базовых цен на проектные работы для строительства КИСиС. Москва 2012 г.</t>
  </si>
  <si>
    <t>Рабочий проект ВЛ-6 (10) кВ</t>
  </si>
  <si>
    <t xml:space="preserve">1 шт </t>
  </si>
  <si>
    <t>Рабочий проект  ВЛ-0,4 кВ</t>
  </si>
  <si>
    <t xml:space="preserve">Рабочий проект  КТП </t>
  </si>
  <si>
    <t>Заземление траверс на опорах ВЛ 6,10 кВ</t>
  </si>
  <si>
    <t>Контур заземления разъединителя</t>
  </si>
  <si>
    <t>Валка деревьев, трелевка древесины, обрезка крон</t>
  </si>
  <si>
    <t>Повторное заземление нулевого провода ВЛ-0,4 кВ</t>
  </si>
  <si>
    <t>Установка жб опоры 6,10 кВ одностоечная</t>
  </si>
  <si>
    <t>Установка жб опоры 6,10 кВ одностоечная с 1 подкосом</t>
  </si>
  <si>
    <t>Установка жб опоры 6,10 кВ одностоечная с 2 подкосами</t>
  </si>
  <si>
    <t>Демонтаж провода 6,10 кВ</t>
  </si>
  <si>
    <t>Подвеска провода 6,10 кВ (СИП-3 1х50-20)</t>
  </si>
  <si>
    <t>Подвеска провода 6,10 кВ (СИП-3 1х35-20)</t>
  </si>
  <si>
    <t>Подвеска провода 6,10 кВ  (СИП-3 1х70-20)</t>
  </si>
  <si>
    <t xml:space="preserve"> </t>
  </si>
  <si>
    <t>Рабочий проект  СТП</t>
  </si>
  <si>
    <t xml:space="preserve">Рабочий проект  МТП </t>
  </si>
  <si>
    <t>Проверил: Начальник ОКСиИ  ___________________________  Шаркунов М.М.</t>
  </si>
  <si>
    <t>ЛСР №6</t>
  </si>
  <si>
    <t>ЛСР №7</t>
  </si>
  <si>
    <t>ЛСР №8</t>
  </si>
  <si>
    <t>Монтаж СТП 25кВА ВВ, тупиковая</t>
  </si>
  <si>
    <t>Монтаж СТП 40кВА ВВ, тупиковая</t>
  </si>
  <si>
    <t>Монтаж МТП 40кВА ВВ, тупиковая</t>
  </si>
  <si>
    <t>Монтаж МТП 250кВА ВВ, тупиковая</t>
  </si>
  <si>
    <t>Монтаж КТПН-250кВА ВВ, тупиковая</t>
  </si>
  <si>
    <t>Монтаж КТПН-400кВА ВВ, тупиковая</t>
  </si>
  <si>
    <t>ФЕРм08-02-305-04</t>
  </si>
  <si>
    <t>ФЕР33-04-016-02</t>
  </si>
  <si>
    <t>ФЕР33-04-016-05</t>
  </si>
  <si>
    <t>ФЕР33-04-016-06</t>
  </si>
  <si>
    <t>ФЕР33-04-003-01</t>
  </si>
  <si>
    <t>ФЕР33-04-003-02</t>
  </si>
  <si>
    <t>ФЕР33-04-003-03</t>
  </si>
  <si>
    <t>ФЕР33-04-030-03</t>
  </si>
  <si>
    <t>ФЕРм08-02-472-09</t>
  </si>
  <si>
    <t>ФЕРм08-02-472-02</t>
  </si>
  <si>
    <t>ФЕРм08-02-471-01</t>
  </si>
  <si>
    <t>ФЕРп01-11-010-02</t>
  </si>
  <si>
    <t>ФЕРм08-02-144-05</t>
  </si>
  <si>
    <t>ФЕР33-04-009-02</t>
  </si>
  <si>
    <t>ФЕР33-04-009-10</t>
  </si>
  <si>
    <t>ФЕР33-04-030-01</t>
  </si>
  <si>
    <t>ФЕР01-02-055-03</t>
  </si>
  <si>
    <t>ФЕР01-02-061-02</t>
  </si>
  <si>
    <t>ФЕР01-02-119-02</t>
  </si>
  <si>
    <t>ФЕР47-01-108-01</t>
  </si>
  <si>
    <t>ФССЦ-08.3.04.02-0092</t>
  </si>
  <si>
    <t>ФССЦ-08.3.07.01-0042</t>
  </si>
  <si>
    <t>ФССЦ-08.3.08.02-0052</t>
  </si>
  <si>
    <t>(компл.)</t>
  </si>
  <si>
    <t>(100 м)</t>
  </si>
  <si>
    <t xml:space="preserve">Сталь круглая углеродистая обыкновенного качества марки ВСт3пс5-1 диаметром: 10 мм
</t>
  </si>
  <si>
    <t>(т)</t>
  </si>
  <si>
    <t xml:space="preserve">Сталь полосовая: 40х4 мм, кипящая
</t>
  </si>
  <si>
    <t>(10 шт)</t>
  </si>
  <si>
    <t>измерение</t>
  </si>
  <si>
    <t>(100 шт)</t>
  </si>
  <si>
    <t>(км)</t>
  </si>
  <si>
    <t>(шт)</t>
  </si>
  <si>
    <t>Сталь угловая равнополочная, марка стали: ВСт3кп2, размером 50x50x5 мм</t>
  </si>
  <si>
    <t>Сталь полосовая: 40х4 мм, кипящая</t>
  </si>
  <si>
    <t>Сталь круглая углеродистая обыкновенного качества марки ВСт3пс5-1 диаметром: 10 мм</t>
  </si>
  <si>
    <t xml:space="preserve">Разработка грунта вручную с креплениями в траншеях шириной до 2 м, глубиной: до 2 м, группа грунтов 3
</t>
  </si>
  <si>
    <t>(100 м3)</t>
  </si>
  <si>
    <t>ФСЭМ-91.14.02-001</t>
  </si>
  <si>
    <t>ФССЦ-08.3.11.01-0060</t>
  </si>
  <si>
    <t>ФЕР33-04-042-01</t>
  </si>
  <si>
    <t>ФЕР33-04-042-02</t>
  </si>
  <si>
    <t>ФЕР33-04-042-03</t>
  </si>
  <si>
    <t>ФЕР33-04-040-03</t>
  </si>
  <si>
    <t>ФССЦ-05.1.02.07-0070</t>
  </si>
  <si>
    <t>ФССЦ-21.2.01.01-0048</t>
  </si>
  <si>
    <t>ФССЦ-21.2.01.01-0046</t>
  </si>
  <si>
    <t>ФССЦ-21.2.01.01-0050</t>
  </si>
  <si>
    <t>ФССЦ-02.2.04.03-0003</t>
  </si>
  <si>
    <t>ФССЦ-20.5.04.04-0001</t>
  </si>
  <si>
    <t>ФССЦ-20.1.02.22-0005</t>
  </si>
  <si>
    <t>ФССЦ-01.7.15.10-0031</t>
  </si>
  <si>
    <t>ФССЦ-20.1.02.14-0007</t>
  </si>
  <si>
    <t>ФССЦ-22.2.02.07-0003</t>
  </si>
  <si>
    <t>(га)</t>
  </si>
  <si>
    <t>(100 м2)</t>
  </si>
  <si>
    <t>Автомобили бортовые, грузоподъемность: до 5 т</t>
  </si>
  <si>
    <t>(маш.-ч)</t>
  </si>
  <si>
    <t>Швеллеры: № 20 сталь марки Ст3пс</t>
  </si>
  <si>
    <t>(1 ед.)</t>
  </si>
  <si>
    <t>Стойка опоры: СВ 105 /бетон В30 (М400), объем 0,47 м3, расход арматуры 74,8 кг/ (серия 3.407.1-143; 3.407.1-136)</t>
  </si>
  <si>
    <t>Узел крепления подкоса У-1</t>
  </si>
  <si>
    <t>Провода самонесущие изолированные для воздушных линий электропередачи с алюминиевыми жилами марки: СИП-3 1х50-35</t>
  </si>
  <si>
    <t>(1000 м)</t>
  </si>
  <si>
    <t>Провода самонесущие изолированные для воздушных линий электропередачи с алюминиевыми жилами марки: СИП-3 1х35-35</t>
  </si>
  <si>
    <t>Провода самонесущие изолированные для воздушных линий электропередачи с алюминиевыми жилами марки: СИП-3 1х70-35</t>
  </si>
  <si>
    <t>(м3)</t>
  </si>
  <si>
    <t>(шт.)</t>
  </si>
  <si>
    <t>Изолятор ШФ 20Г.1</t>
  </si>
  <si>
    <t>ОПН-6/680/7,2</t>
  </si>
  <si>
    <t>Ответвительный зажим RРN 150</t>
  </si>
  <si>
    <t>Зажим ПС 2-2</t>
  </si>
  <si>
    <t>Зажим ПС 2-1</t>
  </si>
  <si>
    <t>Вязка спиральная СО 35 (35-50)</t>
  </si>
  <si>
    <t>(1 компл)</t>
  </si>
  <si>
    <t>Изолятор полимерный ЛК-70/10-Б-4</t>
  </si>
  <si>
    <t xml:space="preserve">Конструкции стальные: порталов ОРУ
</t>
  </si>
  <si>
    <t>Разъединитель РЛНД-1-10-400</t>
  </si>
  <si>
    <t>Серьга СРС-7-16</t>
  </si>
  <si>
    <t>Скоба: СК-7-1А</t>
  </si>
  <si>
    <t>Ушко: однолапчатое У1-7-16</t>
  </si>
  <si>
    <t>Зажим натяжной: болтовый НБ-2-6</t>
  </si>
  <si>
    <t>ФЕР33-04-017-01</t>
  </si>
  <si>
    <t>ФЕРм08-02-472-08</t>
  </si>
  <si>
    <t>ФССЦ-08.3.04.02-0091</t>
  </si>
  <si>
    <t>ФЕРм08-03-575-01</t>
  </si>
  <si>
    <t>ФЕРп01-03-002-06</t>
  </si>
  <si>
    <t>ФЕРм08-02-411-06</t>
  </si>
  <si>
    <t>ФССЦ-20.2.12.03-0002</t>
  </si>
  <si>
    <t>ФССЦ-05.1.02.07-0066</t>
  </si>
  <si>
    <t>ФССЦ-20.1.01.08-0014</t>
  </si>
  <si>
    <t>ФССЦ-25.2.02.09-0011</t>
  </si>
  <si>
    <t>ФССЦ-25.2.02.11-0051</t>
  </si>
  <si>
    <t>ФССЦ-25.2.02.11-0021</t>
  </si>
  <si>
    <t>ФССЦ-20.1.02.07-0006</t>
  </si>
  <si>
    <t>ФССЦ-21.2.01.01-0032</t>
  </si>
  <si>
    <t>ФССЦ-21.2.01.01-0029</t>
  </si>
  <si>
    <t>ФССЦ-62.1.01.09-0240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</si>
  <si>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</si>
  <si>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Присоединение к зажимам жил проводов или кабелей сечением: до 70 мм2 (РС-481)</t>
  </si>
  <si>
    <t>Проводник заземляющий открыто по строительным основаниям: из круглой стали диаметром 8 мм</t>
  </si>
  <si>
    <t>Сталь круглая углеродистая обыкновенного качества марки ВСт3пс5-1 диаметром: 8 мм</t>
  </si>
  <si>
    <t>Прибор или аппарат (Автоматический выключатель)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</si>
  <si>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</si>
  <si>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Трубы гибкие гофрированные двустенные "DKC" диаметром: 63 мм</t>
  </si>
  <si>
    <t>(10 м)</t>
  </si>
  <si>
    <t xml:space="preserve">Обрезка и прореживание крон деревьев: при диаметре ствола до 250 мм, количеством срезов 15-20
</t>
  </si>
  <si>
    <t>Стойка опоры: СВ 95-3,5-а /бетон В22,5 (М300), объем 0,36 м3, расход арматуры 39,4 кг/ (серия 3.407.1-143 вып. 7)</t>
  </si>
  <si>
    <t>Зажим ответвительный с прокалыванием изоляции (СИП): P 645</t>
  </si>
  <si>
    <t>Провода самонесущие изолированные для воздушных линий электропередачи с алюминиевыми жилами марки: СИП-2 3х70+1х54,6-0,6/1,0</t>
  </si>
  <si>
    <t>Провода самонесущие изолированные для воздушных линий электропередачи с алюминиевыми жилами марки: СИП-2 3х50+1х54,6-0,6/1,0</t>
  </si>
  <si>
    <r>
      <t>ФЕР33-02-013-05</t>
    </r>
    <r>
      <rPr>
        <i/>
        <sz val="11"/>
        <rFont val="Times New Roman"/>
        <family val="1"/>
        <charset val="204"/>
      </rPr>
      <t xml:space="preserve">
Применительно</t>
    </r>
  </si>
  <si>
    <r>
      <t>ФЕР33-04-003-01</t>
    </r>
    <r>
      <rPr>
        <i/>
        <sz val="11"/>
        <rFont val="Times New Roman"/>
        <family val="1"/>
        <charset val="204"/>
      </rPr>
      <t xml:space="preserve">
Применительно</t>
    </r>
  </si>
  <si>
    <t>Договорная цена (с НДС -20%)</t>
  </si>
  <si>
    <t>ЛСР №9</t>
  </si>
  <si>
    <t>Обоснование: Локальный сметный расчет № 1</t>
  </si>
  <si>
    <t>Договораная цена, руб. (с НДС 20%)</t>
  </si>
  <si>
    <t xml:space="preserve">Заземлитель  из стали: полосовой сечением 160 мм2 </t>
  </si>
  <si>
    <t xml:space="preserve">Заземлитель  из угловой стали размером: 50х50х5 мм </t>
  </si>
  <si>
    <t>Демонтаж: 3-х проводов ВЛ 6-10 кВ</t>
  </si>
  <si>
    <t>Обоснование: Локальный сметный расчет № 2</t>
  </si>
  <si>
    <t>1,015 непредвиденные затраты</t>
  </si>
  <si>
    <t>Обоснование: Локальный сметный расчет № 10</t>
  </si>
  <si>
    <t>1,034965 (3,7%*1,05*0,9) производство работ в зимнее время</t>
  </si>
  <si>
    <t>Обоснование: Локальный сметный расчет № 3-9</t>
  </si>
  <si>
    <r>
      <t>ФЕР33-02-013-05</t>
    </r>
    <r>
      <rPr>
        <i/>
        <sz val="11"/>
        <rFont val="Arial"/>
        <family val="2"/>
        <charset val="204"/>
      </rPr>
      <t xml:space="preserve">
Применительно</t>
    </r>
  </si>
  <si>
    <r>
      <t>ФЕР33-04-003-01</t>
    </r>
    <r>
      <rPr>
        <i/>
        <sz val="11"/>
        <rFont val="Arial"/>
        <family val="2"/>
        <charset val="204"/>
      </rPr>
      <t xml:space="preserve">
Применительно</t>
    </r>
  </si>
  <si>
    <t>1,069 (5%/2+4,4%)  - индекс-дефлятор для перевода в прогнозные цены на 4 квартал 2020 года</t>
  </si>
  <si>
    <t>Разработка проектно-сметной документации на единицу объема (2020)</t>
  </si>
  <si>
    <t>Строительство, демонтаж ВЛ-0,4 кВ на единицу объема (2020)</t>
  </si>
  <si>
    <t>Строительство, демонтаж  ВЛ-6 (10 ) кВ на единицу объема (2020)</t>
  </si>
  <si>
    <t>Монтаж СТП, МТП, КТПН  единицу объема (2020)</t>
  </si>
  <si>
    <t>Срезка кустарника и мелколесья в грунтах естественного залегания кусторезами на тракторе мощностью: 118 кВт (160 л.с.), кустарник и мелколесье густые</t>
  </si>
  <si>
    <t>Траверса TM63</t>
  </si>
  <si>
    <t>Траверса TM65</t>
  </si>
  <si>
    <t>Траверса TM66</t>
  </si>
  <si>
    <t>Траверса TM67</t>
  </si>
  <si>
    <t>Траверса TM68</t>
  </si>
  <si>
    <t>Хомут X51</t>
  </si>
  <si>
    <t>Разрядник УЗД 1.3</t>
  </si>
  <si>
    <t>ФЕР01-02-112-04</t>
  </si>
  <si>
    <t xml:space="preserve">1,0565 (5%/4+4,4%) индекс-дефлятор перевода на 4 кв  2020 год </t>
  </si>
  <si>
    <t>К=1,0565*1,015=1,0723</t>
  </si>
  <si>
    <t>К=1,0565*1,034965*1,015=1,1098</t>
  </si>
  <si>
    <t>ФССЦ-07.2.02.05-0021</t>
  </si>
  <si>
    <t>ФЕРп01-11-010-01</t>
  </si>
  <si>
    <t>Измерение сопротивления растеканию тока: заземлителя</t>
  </si>
  <si>
    <t>(измерение)</t>
  </si>
  <si>
    <t>ФЕР01-02-099-03</t>
  </si>
  <si>
    <t>Валка деревьев мягких пород с корня, диаметр стволов: до 24 см</t>
  </si>
  <si>
    <t>Трелевка хлыстов древесины на расстояние до 300 м тракторами мощностью 59 кВт (80 л.с.), диаметр стволов до 30 см</t>
  </si>
  <si>
    <t>ФЕР01-02-100-02</t>
  </si>
  <si>
    <t>Наконечник изолированный алюминиевый с медной клеммой (СИП): CPTAU 50</t>
  </si>
  <si>
    <t>Наконечник изолированный алюминиевый с медной клеммой (СИП): CPTAU 54</t>
  </si>
  <si>
    <t>Наконечник изолированный алюминиевый с медной клеммой (СИП): CPTAU 70</t>
  </si>
  <si>
    <t>Монтаж МТП 160кВА ВВ, тупиковая</t>
  </si>
  <si>
    <t>Основание</t>
  </si>
  <si>
    <t>Кол-во</t>
  </si>
  <si>
    <t>Стоимость работ, руб.</t>
  </si>
  <si>
    <t>1 км ВЛЗ 6(10) кВ</t>
  </si>
  <si>
    <t>Локальный сметный расчет №1</t>
  </si>
  <si>
    <t>1 км ВЛИ 0,4 кВ</t>
  </si>
  <si>
    <t>Локальный сметный расчет №2</t>
  </si>
  <si>
    <t>1 ед СТП 25кВА ВВ</t>
  </si>
  <si>
    <t>Локальный сметный расчет №3</t>
  </si>
  <si>
    <t>1 ед СТП 40кВА ВВ</t>
  </si>
  <si>
    <t>Локальный сметный расчет №4</t>
  </si>
  <si>
    <t>1 ед МТП 40кВА ВВ</t>
  </si>
  <si>
    <t>Локальный сметный расчет №5</t>
  </si>
  <si>
    <t>1 ед МТП 160кВА ВВ</t>
  </si>
  <si>
    <t>Локальный сметный расчет №6</t>
  </si>
  <si>
    <t>1 ед МТП 250кВА ВВ</t>
  </si>
  <si>
    <t>Локальный сметный расчет №7</t>
  </si>
  <si>
    <t>1 ед КТПН-250кВА ВВ</t>
  </si>
  <si>
    <t>Локальный сметный расчет №8</t>
  </si>
  <si>
    <t>1 ед КТПН-400кВА ВВ</t>
  </si>
  <si>
    <t>Локальный сметный расчет №9</t>
  </si>
  <si>
    <t>Проектные работы</t>
  </si>
  <si>
    <t>Смета №10</t>
  </si>
  <si>
    <t xml:space="preserve">НДС 20% </t>
  </si>
  <si>
    <t xml:space="preserve">ВСЕГО с НДС </t>
  </si>
  <si>
    <t>Приложение №1.1</t>
  </si>
  <si>
    <t>Приложение №1.2</t>
  </si>
  <si>
    <t>Приложение №1.3</t>
  </si>
  <si>
    <t>Приложение №1.4</t>
  </si>
  <si>
    <t>Коэффициенты, учитывающие прогнозный уровень цен и лимитированные затраты: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</si>
</sst>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"/>
    <numFmt numFmtId="165" formatCode="#,##0.000"/>
    <numFmt numFmtId="166" formatCode="0.00000000"/>
    <numFmt numFmtId="167" formatCode="#,##0.000000"/>
    <numFmt numFmtId="168" formatCode="_-* #,##0.00_р_._-;\-* #,##0.00_р_._-;_-* &quot;-&quot;??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8" fillId="0" borderId="0"/>
    <xf numFmtId="0" fontId="13" fillId="0" borderId="0"/>
    <xf numFmtId="0" fontId="2" fillId="0" borderId="0"/>
    <xf numFmtId="0" fontId="1" fillId="0" borderId="0"/>
    <xf numFmtId="0" fontId="8" fillId="0" borderId="0"/>
    <xf numFmtId="0" fontId="8" fillId="0" borderId="0"/>
    <xf numFmtId="168" fontId="8" fillId="0" borderId="0" applyFont="0" applyFill="0" applyBorder="0" applyAlignment="0" applyProtection="0"/>
  </cellStyleXfs>
  <cellXfs count="330">
    <xf numFmtId="0" fontId="0" fillId="0" borderId="0" xfId="0"/>
    <xf numFmtId="0" fontId="14" fillId="0" borderId="0" xfId="3" applyFont="1" applyAlignment="1">
      <alignment horizontal="left" wrapText="1"/>
    </xf>
    <xf numFmtId="0" fontId="15" fillId="0" borderId="0" xfId="3" applyFont="1" applyAlignment="1">
      <alignment horizontal="left" vertical="center"/>
    </xf>
    <xf numFmtId="0" fontId="16" fillId="0" borderId="0" xfId="2" applyFont="1"/>
    <xf numFmtId="3" fontId="16" fillId="0" borderId="0" xfId="2" applyNumberFormat="1" applyFont="1"/>
    <xf numFmtId="0" fontId="15" fillId="0" borderId="0" xfId="2" applyFont="1"/>
    <xf numFmtId="4" fontId="16" fillId="0" borderId="0" xfId="2" applyNumberFormat="1" applyFont="1"/>
    <xf numFmtId="0" fontId="4" fillId="0" borderId="0" xfId="4" applyFont="1"/>
    <xf numFmtId="0" fontId="10" fillId="0" borderId="0" xfId="3" applyFont="1" applyAlignment="1">
      <alignment horizontal="left" vertical="center" wrapText="1"/>
    </xf>
    <xf numFmtId="0" fontId="11" fillId="0" borderId="0" xfId="3" applyFont="1" applyAlignment="1">
      <alignment horizontal="right"/>
    </xf>
    <xf numFmtId="4" fontId="10" fillId="0" borderId="0" xfId="3" applyNumberFormat="1" applyFont="1" applyAlignment="1">
      <alignment horizontal="left" vertical="center" wrapText="1"/>
    </xf>
    <xf numFmtId="0" fontId="4" fillId="0" borderId="0" xfId="4" applyFont="1" applyAlignment="1">
      <alignment horizontal="left"/>
    </xf>
    <xf numFmtId="0" fontId="4" fillId="0" borderId="0" xfId="4" applyFont="1" applyAlignment="1">
      <alignment horizontal="right"/>
    </xf>
    <xf numFmtId="0" fontId="12" fillId="0" borderId="0" xfId="4" applyFont="1" applyAlignment="1"/>
    <xf numFmtId="0" fontId="19" fillId="0" borderId="0" xfId="4" applyFont="1" applyAlignment="1"/>
    <xf numFmtId="0" fontId="20" fillId="0" borderId="0" xfId="4" applyFont="1"/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/>
    </xf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4" fillId="2" borderId="0" xfId="4" applyFont="1" applyFill="1"/>
    <xf numFmtId="0" fontId="4" fillId="0" borderId="0" xfId="4" applyFont="1" applyFill="1"/>
    <xf numFmtId="0" fontId="6" fillId="0" borderId="5" xfId="4" applyFont="1" applyBorder="1" applyAlignment="1">
      <alignment vertical="center"/>
    </xf>
    <xf numFmtId="0" fontId="6" fillId="0" borderId="0" xfId="4" applyFont="1" applyBorder="1" applyAlignment="1">
      <alignment horizontal="center" vertical="center"/>
    </xf>
    <xf numFmtId="4" fontId="12" fillId="0" borderId="0" xfId="4" applyNumberFormat="1" applyFont="1" applyBorder="1" applyAlignment="1">
      <alignment horizontal="center" vertical="center"/>
    </xf>
    <xf numFmtId="4" fontId="4" fillId="0" borderId="0" xfId="4" applyNumberFormat="1" applyFont="1"/>
    <xf numFmtId="0" fontId="5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21" fillId="0" borderId="0" xfId="4" applyFont="1" applyAlignment="1">
      <alignment horizontal="right" vertical="top"/>
    </xf>
    <xf numFmtId="0" fontId="15" fillId="0" borderId="0" xfId="4" applyFont="1"/>
    <xf numFmtId="0" fontId="4" fillId="0" borderId="0" xfId="4" applyFont="1" applyAlignment="1">
      <alignment horizontal="center"/>
    </xf>
    <xf numFmtId="0" fontId="4" fillId="0" borderId="0" xfId="4" applyFont="1" applyBorder="1"/>
    <xf numFmtId="0" fontId="4" fillId="0" borderId="0" xfId="5" applyFont="1"/>
    <xf numFmtId="0" fontId="4" fillId="0" borderId="0" xfId="5" applyFont="1" applyAlignment="1">
      <alignment horizontal="right"/>
    </xf>
    <xf numFmtId="0" fontId="4" fillId="0" borderId="0" xfId="5" applyFont="1" applyAlignment="1">
      <alignment horizontal="center" vertical="center" wrapText="1"/>
    </xf>
    <xf numFmtId="4" fontId="12" fillId="0" borderId="1" xfId="5" applyNumberFormat="1" applyFont="1" applyBorder="1" applyAlignment="1">
      <alignment horizontal="center"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5" fillId="0" borderId="0" xfId="5" applyFont="1" applyAlignment="1">
      <alignment horizontal="center" vertical="center"/>
    </xf>
    <xf numFmtId="4" fontId="5" fillId="0" borderId="0" xfId="5" applyNumberFormat="1" applyFont="1" applyAlignment="1">
      <alignment horizontal="center" vertical="center"/>
    </xf>
    <xf numFmtId="4" fontId="4" fillId="0" borderId="0" xfId="5" applyNumberFormat="1" applyFont="1" applyAlignment="1">
      <alignment horizontal="center" vertical="center"/>
    </xf>
    <xf numFmtId="4" fontId="4" fillId="0" borderId="0" xfId="5" applyNumberFormat="1" applyFont="1"/>
    <xf numFmtId="0" fontId="4" fillId="0" borderId="0" xfId="5" applyFont="1" applyAlignment="1">
      <alignment horizontal="center"/>
    </xf>
    <xf numFmtId="0" fontId="9" fillId="3" borderId="1" xfId="4" applyFont="1" applyFill="1" applyBorder="1" applyAlignment="1">
      <alignment horizontal="center" vertical="center"/>
    </xf>
    <xf numFmtId="0" fontId="24" fillId="3" borderId="0" xfId="4" applyFont="1" applyFill="1"/>
    <xf numFmtId="0" fontId="5" fillId="0" borderId="0" xfId="4" applyFont="1" applyAlignment="1">
      <alignment horizontal="left"/>
    </xf>
    <xf numFmtId="0" fontId="4" fillId="3" borderId="0" xfId="4" applyFont="1" applyFill="1"/>
    <xf numFmtId="0" fontId="4" fillId="0" borderId="1" xfId="4" applyFont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/>
    </xf>
    <xf numFmtId="4" fontId="5" fillId="3" borderId="0" xfId="4" applyNumberFormat="1" applyFont="1" applyFill="1" applyAlignment="1">
      <alignment horizontal="center" vertical="center"/>
    </xf>
    <xf numFmtId="0" fontId="4" fillId="3" borderId="0" xfId="4" applyFont="1" applyFill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4" fontId="24" fillId="3" borderId="1" xfId="4" applyNumberFormat="1" applyFont="1" applyFill="1" applyBorder="1" applyAlignment="1">
      <alignment horizontal="center" vertical="center"/>
    </xf>
    <xf numFmtId="0" fontId="24" fillId="3" borderId="1" xfId="4" applyFont="1" applyFill="1" applyBorder="1" applyAlignment="1">
      <alignment horizontal="center" vertical="center" wrapText="1"/>
    </xf>
    <xf numFmtId="4" fontId="4" fillId="3" borderId="1" xfId="4" applyNumberFormat="1" applyFont="1" applyFill="1" applyBorder="1" applyAlignment="1">
      <alignment horizontal="center" vertical="center" wrapText="1"/>
    </xf>
    <xf numFmtId="49" fontId="24" fillId="0" borderId="1" xfId="2" applyNumberFormat="1" applyFont="1" applyBorder="1" applyAlignment="1">
      <alignment horizontal="left" vertical="top" wrapText="1"/>
    </xf>
    <xf numFmtId="0" fontId="12" fillId="0" borderId="13" xfId="4" applyFont="1" applyBorder="1" applyAlignment="1">
      <alignment horizontal="left" vertical="center"/>
    </xf>
    <xf numFmtId="0" fontId="12" fillId="0" borderId="13" xfId="4" applyFont="1" applyBorder="1" applyAlignment="1">
      <alignment vertical="center"/>
    </xf>
    <xf numFmtId="0" fontId="12" fillId="3" borderId="13" xfId="4" applyFont="1" applyFill="1" applyBorder="1" applyAlignment="1">
      <alignment vertical="center"/>
    </xf>
    <xf numFmtId="0" fontId="12" fillId="0" borderId="0" xfId="4" applyFont="1" applyBorder="1" applyAlignment="1">
      <alignment horizontal="center" vertical="center"/>
    </xf>
    <xf numFmtId="0" fontId="12" fillId="3" borderId="0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left" vertical="top"/>
    </xf>
    <xf numFmtId="0" fontId="4" fillId="3" borderId="1" xfId="4" applyFont="1" applyFill="1" applyBorder="1" applyAlignment="1">
      <alignment horizontal="left" vertical="top"/>
    </xf>
    <xf numFmtId="0" fontId="24" fillId="3" borderId="1" xfId="4" applyFont="1" applyFill="1" applyBorder="1" applyAlignment="1">
      <alignment horizontal="left" vertical="top"/>
    </xf>
    <xf numFmtId="3" fontId="4" fillId="2" borderId="0" xfId="4" applyNumberFormat="1" applyFont="1" applyFill="1"/>
    <xf numFmtId="49" fontId="24" fillId="0" borderId="1" xfId="2" applyNumberFormat="1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" fontId="4" fillId="3" borderId="1" xfId="2" applyNumberFormat="1" applyFont="1" applyFill="1" applyBorder="1" applyAlignment="1">
      <alignment horizontal="center" vertical="center" wrapText="1"/>
    </xf>
    <xf numFmtId="4" fontId="12" fillId="0" borderId="14" xfId="4" applyNumberFormat="1" applyFont="1" applyBorder="1" applyAlignment="1">
      <alignment vertical="center"/>
    </xf>
    <xf numFmtId="4" fontId="12" fillId="0" borderId="1" xfId="4" applyNumberFormat="1" applyFont="1" applyBorder="1" applyAlignment="1">
      <alignment horizontal="center" vertical="center"/>
    </xf>
    <xf numFmtId="4" fontId="17" fillId="0" borderId="1" xfId="2" applyNumberFormat="1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4" fillId="0" borderId="0" xfId="5" applyFont="1" applyBorder="1" applyAlignment="1">
      <alignment horizontal="left"/>
    </xf>
    <xf numFmtId="0" fontId="4" fillId="0" borderId="1" xfId="5" applyFont="1" applyBorder="1" applyAlignment="1">
      <alignment horizontal="center"/>
    </xf>
    <xf numFmtId="164" fontId="24" fillId="0" borderId="1" xfId="4" applyNumberFormat="1" applyFont="1" applyBorder="1" applyAlignment="1">
      <alignment horizontal="center" vertical="center"/>
    </xf>
    <xf numFmtId="164" fontId="7" fillId="0" borderId="1" xfId="4" applyNumberFormat="1" applyFont="1" applyBorder="1" applyAlignment="1">
      <alignment horizontal="center" vertical="center"/>
    </xf>
    <xf numFmtId="0" fontId="18" fillId="0" borderId="0" xfId="2" applyFont="1" applyBorder="1" applyAlignment="1">
      <alignment vertical="top"/>
    </xf>
    <xf numFmtId="0" fontId="4" fillId="0" borderId="0" xfId="4" applyFont="1" applyAlignment="1"/>
    <xf numFmtId="0" fontId="24" fillId="0" borderId="0" xfId="3" applyFont="1" applyAlignment="1">
      <alignment horizontal="left" vertical="center" wrapText="1"/>
    </xf>
    <xf numFmtId="0" fontId="24" fillId="0" borderId="0" xfId="2" applyFont="1" applyBorder="1" applyAlignment="1">
      <alignment vertical="top"/>
    </xf>
    <xf numFmtId="0" fontId="17" fillId="0" borderId="0" xfId="2" applyFont="1" applyBorder="1" applyAlignment="1">
      <alignment horizontal="right" vertical="top"/>
    </xf>
    <xf numFmtId="4" fontId="24" fillId="0" borderId="0" xfId="3" applyNumberFormat="1" applyFont="1" applyAlignment="1">
      <alignment horizontal="left" vertical="center" wrapText="1"/>
    </xf>
    <xf numFmtId="0" fontId="24" fillId="0" borderId="0" xfId="2" applyFont="1" applyBorder="1" applyAlignment="1"/>
    <xf numFmtId="0" fontId="24" fillId="0" borderId="0" xfId="3" applyFont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24" fillId="0" borderId="1" xfId="3" applyFont="1" applyBorder="1" applyAlignment="1">
      <alignment horizontal="left" vertical="center" wrapText="1"/>
    </xf>
    <xf numFmtId="0" fontId="24" fillId="0" borderId="1" xfId="3" applyFont="1" applyFill="1" applyBorder="1" applyAlignment="1">
      <alignment horizontal="center" vertical="center" wrapText="1"/>
    </xf>
    <xf numFmtId="4" fontId="24" fillId="0" borderId="1" xfId="3" applyNumberFormat="1" applyFont="1" applyFill="1" applyBorder="1" applyAlignment="1">
      <alignment horizontal="center" vertical="center" wrapText="1"/>
    </xf>
    <xf numFmtId="4" fontId="24" fillId="0" borderId="1" xfId="3" applyNumberFormat="1" applyFont="1" applyBorder="1" applyAlignment="1">
      <alignment horizontal="center" vertical="center" wrapText="1"/>
    </xf>
    <xf numFmtId="0" fontId="24" fillId="0" borderId="0" xfId="3" applyFont="1" applyFill="1"/>
    <xf numFmtId="0" fontId="24" fillId="0" borderId="0" xfId="3" applyFont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left" vertical="center" wrapText="1"/>
    </xf>
    <xf numFmtId="0" fontId="24" fillId="0" borderId="0" xfId="3" applyFont="1" applyFill="1" applyBorder="1" applyAlignment="1">
      <alignment horizontal="center" vertical="center" wrapText="1"/>
    </xf>
    <xf numFmtId="4" fontId="24" fillId="0" borderId="0" xfId="3" applyNumberFormat="1" applyFont="1" applyFill="1" applyBorder="1" applyAlignment="1">
      <alignment horizontal="center" vertical="center" wrapText="1"/>
    </xf>
    <xf numFmtId="0" fontId="24" fillId="0" borderId="0" xfId="3" applyFont="1" applyAlignment="1">
      <alignment horizontal="left" vertical="center"/>
    </xf>
    <xf numFmtId="49" fontId="26" fillId="0" borderId="1" xfId="2" applyNumberFormat="1" applyFont="1" applyBorder="1" applyAlignment="1">
      <alignment horizontal="left" vertical="top" wrapText="1"/>
    </xf>
    <xf numFmtId="0" fontId="26" fillId="0" borderId="1" xfId="2" applyFont="1" applyBorder="1" applyAlignment="1">
      <alignment horizontal="center" vertical="center"/>
    </xf>
    <xf numFmtId="4" fontId="4" fillId="0" borderId="1" xfId="4" applyNumberFormat="1" applyFont="1" applyFill="1" applyBorder="1" applyAlignment="1">
      <alignment horizontal="center" vertical="center"/>
    </xf>
    <xf numFmtId="0" fontId="26" fillId="0" borderId="1" xfId="2" applyFont="1" applyBorder="1" applyAlignment="1">
      <alignment horizontal="center" vertical="center" wrapText="1"/>
    </xf>
    <xf numFmtId="2" fontId="4" fillId="0" borderId="1" xfId="4" applyNumberFormat="1" applyFont="1" applyFill="1" applyBorder="1" applyAlignment="1">
      <alignment horizontal="center" vertical="center"/>
    </xf>
    <xf numFmtId="2" fontId="4" fillId="0" borderId="1" xfId="4" applyNumberFormat="1" applyFont="1" applyBorder="1" applyAlignment="1">
      <alignment horizontal="center" vertical="center"/>
    </xf>
    <xf numFmtId="49" fontId="26" fillId="0" borderId="1" xfId="2" applyNumberFormat="1" applyFont="1" applyFill="1" applyBorder="1" applyAlignment="1">
      <alignment horizontal="left" vertical="top" wrapText="1"/>
    </xf>
    <xf numFmtId="0" fontId="26" fillId="0" borderId="1" xfId="2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12" fillId="0" borderId="0" xfId="4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Fill="1" applyAlignment="1">
      <alignment horizontal="center" vertical="center"/>
    </xf>
    <xf numFmtId="0" fontId="24" fillId="0" borderId="0" xfId="4" applyFont="1"/>
    <xf numFmtId="0" fontId="25" fillId="0" borderId="0" xfId="4" applyFont="1" applyAlignment="1">
      <alignment horizontal="center" vertical="top" wrapText="1"/>
    </xf>
    <xf numFmtId="0" fontId="4" fillId="0" borderId="1" xfId="5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24" fillId="0" borderId="0" xfId="5" applyFont="1" applyAlignment="1">
      <alignment horizontal="right" vertical="top"/>
    </xf>
    <xf numFmtId="0" fontId="24" fillId="0" borderId="0" xfId="5" applyFont="1"/>
    <xf numFmtId="0" fontId="4" fillId="0" borderId="17" xfId="4" applyFont="1" applyBorder="1"/>
    <xf numFmtId="0" fontId="4" fillId="0" borderId="17" xfId="4" applyFont="1" applyFill="1" applyBorder="1"/>
    <xf numFmtId="0" fontId="4" fillId="0" borderId="18" xfId="4" applyFont="1" applyBorder="1"/>
    <xf numFmtId="0" fontId="24" fillId="0" borderId="0" xfId="3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2" fillId="0" borderId="0" xfId="4" applyFont="1" applyAlignment="1">
      <alignment horizontal="center" vertical="top" wrapText="1"/>
    </xf>
    <xf numFmtId="0" fontId="25" fillId="0" borderId="0" xfId="5" applyFont="1" applyAlignment="1">
      <alignment horizontal="center" vertical="top" wrapText="1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5" fillId="0" borderId="0" xfId="4" applyFont="1" applyBorder="1" applyAlignment="1">
      <alignment horizontal="center" vertical="center"/>
    </xf>
    <xf numFmtId="4" fontId="12" fillId="0" borderId="13" xfId="4" applyNumberFormat="1" applyFont="1" applyFill="1" applyBorder="1" applyAlignment="1">
      <alignment vertical="center"/>
    </xf>
    <xf numFmtId="0" fontId="22" fillId="0" borderId="0" xfId="4" applyFont="1" applyFill="1" applyAlignment="1">
      <alignment horizontal="center" vertical="top" wrapText="1"/>
    </xf>
    <xf numFmtId="0" fontId="24" fillId="0" borderId="1" xfId="4" applyFont="1" applyBorder="1" applyAlignment="1">
      <alignment horizontal="center" vertical="center" wrapText="1"/>
    </xf>
    <xf numFmtId="4" fontId="24" fillId="0" borderId="1" xfId="4" applyNumberFormat="1" applyFont="1" applyFill="1" applyBorder="1" applyAlignment="1">
      <alignment horizontal="center" vertical="center"/>
    </xf>
    <xf numFmtId="4" fontId="24" fillId="0" borderId="1" xfId="4" applyNumberFormat="1" applyFont="1" applyBorder="1" applyAlignment="1">
      <alignment horizontal="center" vertical="center"/>
    </xf>
    <xf numFmtId="0" fontId="12" fillId="0" borderId="0" xfId="4" applyFont="1" applyAlignment="1">
      <alignment horizontal="center"/>
    </xf>
    <xf numFmtId="0" fontId="4" fillId="0" borderId="0" xfId="4" applyFont="1" applyAlignment="1">
      <alignment horizontal="left"/>
    </xf>
    <xf numFmtId="0" fontId="29" fillId="0" borderId="0" xfId="6" applyFont="1" applyAlignment="1">
      <alignment vertical="top"/>
    </xf>
    <xf numFmtId="49" fontId="29" fillId="0" borderId="0" xfId="6" applyNumberFormat="1" applyFont="1" applyAlignment="1">
      <alignment horizontal="center" vertical="top"/>
    </xf>
    <xf numFmtId="4" fontId="29" fillId="0" borderId="0" xfId="6" applyNumberFormat="1" applyFont="1" applyAlignment="1">
      <alignment vertical="top"/>
    </xf>
    <xf numFmtId="2" fontId="29" fillId="0" borderId="0" xfId="6" applyNumberFormat="1" applyFont="1" applyAlignment="1">
      <alignment vertical="top"/>
    </xf>
    <xf numFmtId="4" fontId="30" fillId="0" borderId="0" xfId="6" applyNumberFormat="1" applyFont="1" applyAlignment="1">
      <alignment vertical="top"/>
    </xf>
    <xf numFmtId="49" fontId="30" fillId="0" borderId="0" xfId="6" applyNumberFormat="1" applyFont="1" applyAlignment="1">
      <alignment vertical="top"/>
    </xf>
    <xf numFmtId="49" fontId="31" fillId="0" borderId="0" xfId="6" applyNumberFormat="1" applyFont="1" applyAlignment="1">
      <alignment horizontal="right" vertical="top"/>
    </xf>
    <xf numFmtId="0" fontId="30" fillId="0" borderId="1" xfId="6" applyFont="1" applyBorder="1" applyAlignment="1">
      <alignment horizontal="center" vertical="center" wrapText="1"/>
    </xf>
    <xf numFmtId="0" fontId="30" fillId="0" borderId="1" xfId="6" quotePrefix="1" applyFont="1" applyBorder="1" applyAlignment="1">
      <alignment horizontal="center" vertical="center"/>
    </xf>
    <xf numFmtId="49" fontId="30" fillId="0" borderId="1" xfId="6" applyNumberFormat="1" applyFont="1" applyBorder="1" applyAlignment="1">
      <alignment horizontal="center" vertical="center"/>
    </xf>
    <xf numFmtId="49" fontId="30" fillId="0" borderId="1" xfId="6" applyNumberFormat="1" applyFont="1" applyBorder="1" applyAlignment="1">
      <alignment horizontal="center" vertical="center" wrapText="1"/>
    </xf>
    <xf numFmtId="0" fontId="30" fillId="0" borderId="1" xfId="6" applyFont="1" applyBorder="1" applyAlignment="1">
      <alignment horizontal="center" vertical="center"/>
    </xf>
    <xf numFmtId="4" fontId="30" fillId="0" borderId="1" xfId="6" applyNumberFormat="1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vertical="center" wrapText="1"/>
    </xf>
    <xf numFmtId="0" fontId="33" fillId="0" borderId="1" xfId="6" quotePrefix="1" applyFont="1" applyFill="1" applyBorder="1" applyAlignment="1">
      <alignment vertical="center" wrapText="1"/>
    </xf>
    <xf numFmtId="0" fontId="33" fillId="0" borderId="1" xfId="7" quotePrefix="1" applyFont="1" applyFill="1" applyBorder="1" applyAlignment="1">
      <alignment horizontal="center" vertical="center" wrapText="1"/>
    </xf>
    <xf numFmtId="0" fontId="33" fillId="0" borderId="1" xfId="7" applyNumberFormat="1" applyFont="1" applyFill="1" applyBorder="1" applyAlignment="1">
      <alignment horizontal="center" vertical="center"/>
    </xf>
    <xf numFmtId="0" fontId="33" fillId="0" borderId="1" xfId="7" applyFont="1" applyFill="1" applyBorder="1" applyAlignment="1">
      <alignment horizontal="center" vertical="center"/>
    </xf>
    <xf numFmtId="4" fontId="33" fillId="0" borderId="1" xfId="6" applyNumberFormat="1" applyFont="1" applyBorder="1" applyAlignment="1">
      <alignment horizontal="center" vertical="center"/>
    </xf>
    <xf numFmtId="165" fontId="33" fillId="0" borderId="0" xfId="6" applyNumberFormat="1" applyFont="1" applyBorder="1" applyAlignment="1">
      <alignment horizontal="center" vertical="top"/>
    </xf>
    <xf numFmtId="2" fontId="29" fillId="0" borderId="0" xfId="6" applyNumberFormat="1" applyFont="1" applyBorder="1" applyAlignment="1">
      <alignment vertical="top"/>
    </xf>
    <xf numFmtId="0" fontId="29" fillId="0" borderId="0" xfId="6" applyFont="1" applyBorder="1" applyAlignment="1">
      <alignment vertical="top"/>
    </xf>
    <xf numFmtId="4" fontId="29" fillId="0" borderId="0" xfId="6" applyNumberFormat="1" applyFont="1" applyBorder="1" applyAlignment="1">
      <alignment vertical="top"/>
    </xf>
    <xf numFmtId="4" fontId="33" fillId="0" borderId="1" xfId="6" applyNumberFormat="1" applyFont="1" applyFill="1" applyBorder="1" applyAlignment="1">
      <alignment horizontal="center" vertical="center"/>
    </xf>
    <xf numFmtId="167" fontId="33" fillId="0" borderId="0" xfId="6" applyNumberFormat="1" applyFont="1" applyBorder="1" applyAlignment="1">
      <alignment horizontal="center" vertical="top"/>
    </xf>
    <xf numFmtId="4" fontId="33" fillId="0" borderId="1" xfId="7" applyNumberFormat="1" applyFont="1" applyFill="1" applyBorder="1" applyAlignment="1">
      <alignment horizontal="center" vertical="center"/>
    </xf>
    <xf numFmtId="4" fontId="33" fillId="0" borderId="1" xfId="7" applyNumberFormat="1" applyFont="1" applyBorder="1" applyAlignment="1">
      <alignment horizontal="center" vertical="center"/>
    </xf>
    <xf numFmtId="0" fontId="33" fillId="0" borderId="1" xfId="7" quotePrefix="1" applyFont="1" applyFill="1" applyBorder="1" applyAlignment="1">
      <alignment horizontal="left" vertical="center" wrapText="1"/>
    </xf>
    <xf numFmtId="0" fontId="33" fillId="0" borderId="1" xfId="6" applyFont="1" applyBorder="1" applyAlignment="1">
      <alignment horizontal="center" vertical="center"/>
    </xf>
    <xf numFmtId="0" fontId="34" fillId="0" borderId="1" xfId="6" quotePrefix="1" applyFont="1" applyBorder="1" applyAlignment="1">
      <alignment horizontal="center" vertical="center"/>
    </xf>
    <xf numFmtId="49" fontId="33" fillId="0" borderId="1" xfId="6" applyNumberFormat="1" applyFont="1" applyBorder="1" applyAlignment="1">
      <alignment horizontal="center" vertical="center"/>
    </xf>
    <xf numFmtId="1" fontId="33" fillId="0" borderId="1" xfId="6" applyNumberFormat="1" applyFont="1" applyBorder="1" applyAlignment="1">
      <alignment horizontal="center" vertical="center"/>
    </xf>
    <xf numFmtId="4" fontId="34" fillId="3" borderId="1" xfId="8" applyNumberFormat="1" applyFont="1" applyFill="1" applyBorder="1" applyAlignment="1">
      <alignment horizontal="center" vertical="center"/>
    </xf>
    <xf numFmtId="4" fontId="35" fillId="3" borderId="0" xfId="8" applyNumberFormat="1" applyFont="1" applyFill="1" applyBorder="1" applyAlignment="1">
      <alignment horizontal="center" vertical="center"/>
    </xf>
    <xf numFmtId="0" fontId="33" fillId="0" borderId="1" xfId="6" applyFont="1" applyBorder="1" applyAlignment="1">
      <alignment vertical="top"/>
    </xf>
    <xf numFmtId="0" fontId="34" fillId="0" borderId="1" xfId="6" applyFont="1" applyBorder="1" applyAlignment="1">
      <alignment horizontal="center" vertical="top"/>
    </xf>
    <xf numFmtId="49" fontId="33" fillId="0" borderId="1" xfId="6" applyNumberFormat="1" applyFont="1" applyBorder="1" applyAlignment="1">
      <alignment horizontal="center" vertical="top"/>
    </xf>
    <xf numFmtId="4" fontId="34" fillId="3" borderId="1" xfId="6" applyNumberFormat="1" applyFont="1" applyFill="1" applyBorder="1" applyAlignment="1">
      <alignment horizontal="center" vertical="top"/>
    </xf>
    <xf numFmtId="4" fontId="34" fillId="3" borderId="0" xfId="6" applyNumberFormat="1" applyFont="1" applyFill="1" applyBorder="1" applyAlignment="1">
      <alignment horizontal="center" vertical="top"/>
    </xf>
    <xf numFmtId="2" fontId="30" fillId="0" borderId="0" xfId="6" applyNumberFormat="1" applyFont="1" applyAlignment="1">
      <alignment vertical="top"/>
    </xf>
    <xf numFmtId="0" fontId="30" fillId="0" borderId="0" xfId="6" applyFont="1" applyAlignment="1">
      <alignment vertical="top"/>
    </xf>
    <xf numFmtId="0" fontId="35" fillId="0" borderId="0" xfId="6" applyFont="1" applyBorder="1" applyAlignment="1">
      <alignment horizontal="center" vertical="top"/>
    </xf>
    <xf numFmtId="49" fontId="29" fillId="0" borderId="0" xfId="6" applyNumberFormat="1" applyFont="1" applyBorder="1" applyAlignment="1">
      <alignment horizontal="center" vertical="top"/>
    </xf>
    <xf numFmtId="4" fontId="34" fillId="0" borderId="0" xfId="6" applyNumberFormat="1" applyFont="1" applyBorder="1" applyAlignment="1">
      <alignment horizontal="center" vertical="top"/>
    </xf>
    <xf numFmtId="0" fontId="8" fillId="0" borderId="0" xfId="2" applyAlignment="1">
      <alignment vertical="top" wrapText="1"/>
    </xf>
    <xf numFmtId="0" fontId="37" fillId="0" borderId="0" xfId="2" applyFont="1" applyAlignment="1">
      <alignment horizontal="right" vertical="top"/>
    </xf>
    <xf numFmtId="0" fontId="13" fillId="0" borderId="0" xfId="2" applyFont="1"/>
    <xf numFmtId="0" fontId="38" fillId="0" borderId="0" xfId="2" applyFont="1" applyAlignment="1">
      <alignment horizontal="center" vertical="top" wrapText="1"/>
    </xf>
    <xf numFmtId="0" fontId="38" fillId="0" borderId="0" xfId="2" applyFont="1" applyAlignment="1">
      <alignment vertical="top" wrapText="1"/>
    </xf>
    <xf numFmtId="0" fontId="32" fillId="0" borderId="0" xfId="2" applyFont="1"/>
    <xf numFmtId="0" fontId="32" fillId="3" borderId="0" xfId="2" applyFont="1" applyFill="1"/>
    <xf numFmtId="0" fontId="29" fillId="3" borderId="0" xfId="6" applyFont="1" applyFill="1" applyAlignment="1">
      <alignment vertical="top"/>
    </xf>
    <xf numFmtId="4" fontId="29" fillId="3" borderId="0" xfId="6" applyNumberFormat="1" applyFont="1" applyFill="1" applyAlignment="1">
      <alignment vertical="top"/>
    </xf>
    <xf numFmtId="0" fontId="39" fillId="0" borderId="0" xfId="2" quotePrefix="1" applyFont="1" applyAlignment="1">
      <alignment horizontal="left"/>
    </xf>
    <xf numFmtId="0" fontId="19" fillId="0" borderId="0" xfId="4" applyFont="1" applyAlignment="1">
      <alignment horizontal="right"/>
    </xf>
    <xf numFmtId="0" fontId="32" fillId="0" borderId="0" xfId="2" applyFont="1" applyBorder="1" applyAlignment="1">
      <alignment horizontal="center"/>
    </xf>
    <xf numFmtId="4" fontId="30" fillId="0" borderId="0" xfId="6" applyNumberFormat="1" applyFont="1" applyBorder="1" applyAlignment="1">
      <alignment horizontal="center" vertical="center" wrapText="1"/>
    </xf>
    <xf numFmtId="0" fontId="12" fillId="0" borderId="0" xfId="4" applyFont="1" applyAlignment="1">
      <alignment horizontal="center"/>
    </xf>
    <xf numFmtId="0" fontId="11" fillId="0" borderId="0" xfId="4" applyFont="1" applyBorder="1" applyAlignment="1">
      <alignment horizontal="left"/>
    </xf>
    <xf numFmtId="0" fontId="32" fillId="0" borderId="0" xfId="2" applyFont="1" applyAlignment="1">
      <alignment horizontal="center"/>
    </xf>
    <xf numFmtId="0" fontId="36" fillId="0" borderId="0" xfId="2" applyFont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24" fillId="0" borderId="5" xfId="2" applyFont="1" applyBorder="1" applyAlignment="1">
      <alignment horizontal="left" vertical="top" wrapText="1"/>
    </xf>
    <xf numFmtId="0" fontId="24" fillId="0" borderId="13" xfId="2" applyFont="1" applyBorder="1" applyAlignment="1">
      <alignment horizontal="left" vertical="top" wrapText="1"/>
    </xf>
    <xf numFmtId="0" fontId="24" fillId="0" borderId="14" xfId="2" applyFont="1" applyBorder="1" applyAlignment="1">
      <alignment horizontal="left" vertical="top" wrapText="1"/>
    </xf>
    <xf numFmtId="0" fontId="4" fillId="0" borderId="1" xfId="4" applyFont="1" applyBorder="1" applyAlignment="1">
      <alignment horizontal="left" wrapText="1"/>
    </xf>
    <xf numFmtId="0" fontId="4" fillId="0" borderId="1" xfId="4" applyFont="1" applyBorder="1" applyAlignment="1">
      <alignment horizontal="center"/>
    </xf>
    <xf numFmtId="0" fontId="4" fillId="0" borderId="0" xfId="4" applyFont="1" applyAlignment="1">
      <alignment horizontal="left"/>
    </xf>
    <xf numFmtId="0" fontId="5" fillId="0" borderId="0" xfId="4" applyFont="1" applyAlignment="1">
      <alignment horizontal="left"/>
    </xf>
    <xf numFmtId="0" fontId="22" fillId="0" borderId="0" xfId="4" applyFont="1" applyAlignment="1">
      <alignment horizontal="center" vertical="top" wrapText="1"/>
    </xf>
    <xf numFmtId="0" fontId="4" fillId="0" borderId="5" xfId="4" applyFont="1" applyBorder="1" applyAlignment="1">
      <alignment horizontal="left" vertical="center"/>
    </xf>
    <xf numFmtId="0" fontId="4" fillId="0" borderId="13" xfId="4" applyFont="1" applyBorder="1" applyAlignment="1">
      <alignment horizontal="left" vertical="center"/>
    </xf>
    <xf numFmtId="0" fontId="4" fillId="0" borderId="14" xfId="4" applyFont="1" applyBorder="1" applyAlignment="1">
      <alignment horizontal="left" vertical="center"/>
    </xf>
    <xf numFmtId="0" fontId="4" fillId="0" borderId="5" xfId="4" applyFont="1" applyBorder="1" applyAlignment="1">
      <alignment vertical="center" wrapText="1"/>
    </xf>
    <xf numFmtId="0" fontId="4" fillId="0" borderId="13" xfId="4" applyFont="1" applyBorder="1" applyAlignment="1">
      <alignment vertical="center" wrapText="1"/>
    </xf>
    <xf numFmtId="0" fontId="4" fillId="0" borderId="14" xfId="4" applyFont="1" applyBorder="1" applyAlignment="1">
      <alignment vertical="center" wrapText="1"/>
    </xf>
    <xf numFmtId="0" fontId="9" fillId="0" borderId="0" xfId="4" applyFont="1" applyAlignment="1">
      <alignment horizontal="center" vertical="top" wrapText="1"/>
    </xf>
    <xf numFmtId="0" fontId="24" fillId="0" borderId="5" xfId="2" applyFont="1" applyBorder="1" applyAlignment="1">
      <alignment vertical="top" wrapText="1"/>
    </xf>
    <xf numFmtId="0" fontId="24" fillId="0" borderId="13" xfId="2" applyFont="1" applyBorder="1" applyAlignment="1">
      <alignment vertical="top" wrapText="1"/>
    </xf>
    <xf numFmtId="0" fontId="24" fillId="0" borderId="14" xfId="2" applyFont="1" applyBorder="1" applyAlignment="1">
      <alignment vertical="top" wrapText="1"/>
    </xf>
    <xf numFmtId="0" fontId="24" fillId="0" borderId="5" xfId="4" applyFont="1" applyBorder="1" applyAlignment="1">
      <alignment vertical="center"/>
    </xf>
    <xf numFmtId="0" fontId="24" fillId="0" borderId="13" xfId="4" applyFont="1" applyBorder="1" applyAlignment="1">
      <alignment vertical="center"/>
    </xf>
    <xf numFmtId="0" fontId="24" fillId="0" borderId="14" xfId="4" applyFont="1" applyBorder="1" applyAlignment="1">
      <alignment vertical="center"/>
    </xf>
    <xf numFmtId="0" fontId="17" fillId="0" borderId="15" xfId="2" applyFont="1" applyBorder="1" applyAlignment="1">
      <alignment horizontal="center" vertical="center" wrapText="1"/>
    </xf>
    <xf numFmtId="0" fontId="24" fillId="0" borderId="5" xfId="2" applyFont="1" applyBorder="1" applyAlignment="1">
      <alignment vertical="center" wrapText="1"/>
    </xf>
    <xf numFmtId="0" fontId="24" fillId="0" borderId="13" xfId="2" applyFont="1" applyBorder="1" applyAlignment="1">
      <alignment vertical="center" wrapText="1"/>
    </xf>
    <xf numFmtId="0" fontId="24" fillId="0" borderId="14" xfId="2" applyFont="1" applyBorder="1" applyAlignment="1">
      <alignment vertical="center" wrapText="1"/>
    </xf>
    <xf numFmtId="0" fontId="7" fillId="0" borderId="0" xfId="2" applyFont="1" applyAlignment="1">
      <alignment horizontal="left" wrapText="1"/>
    </xf>
    <xf numFmtId="49" fontId="24" fillId="0" borderId="5" xfId="2" applyNumberFormat="1" applyFont="1" applyBorder="1" applyAlignment="1">
      <alignment vertical="center" wrapText="1"/>
    </xf>
    <xf numFmtId="49" fontId="24" fillId="0" borderId="13" xfId="2" applyNumberFormat="1" applyFont="1" applyBorder="1" applyAlignment="1">
      <alignment vertical="center" wrapText="1"/>
    </xf>
    <xf numFmtId="49" fontId="24" fillId="0" borderId="14" xfId="2" applyNumberFormat="1" applyFont="1" applyBorder="1" applyAlignment="1">
      <alignment vertical="center" wrapText="1"/>
    </xf>
    <xf numFmtId="0" fontId="16" fillId="0" borderId="0" xfId="2" applyFont="1" applyAlignment="1">
      <alignment horizontal="center" vertical="center"/>
    </xf>
    <xf numFmtId="0" fontId="24" fillId="0" borderId="1" xfId="2" applyFont="1" applyFill="1" applyBorder="1" applyAlignment="1">
      <alignment horizontal="left" vertical="top" wrapText="1"/>
    </xf>
    <xf numFmtId="0" fontId="24" fillId="0" borderId="1" xfId="2" applyFont="1" applyBorder="1" applyAlignment="1">
      <alignment horizontal="left" vertical="top" wrapText="1"/>
    </xf>
    <xf numFmtId="0" fontId="4" fillId="3" borderId="1" xfId="4" applyFont="1" applyFill="1" applyBorder="1" applyAlignment="1">
      <alignment horizontal="left" wrapText="1"/>
    </xf>
    <xf numFmtId="0" fontId="24" fillId="3" borderId="1" xfId="4" applyFont="1" applyFill="1" applyBorder="1" applyAlignment="1">
      <alignment horizontal="left" wrapText="1"/>
    </xf>
    <xf numFmtId="0" fontId="4" fillId="0" borderId="16" xfId="4" applyFont="1" applyBorder="1" applyAlignment="1">
      <alignment horizontal="left"/>
    </xf>
    <xf numFmtId="0" fontId="4" fillId="0" borderId="13" xfId="4" applyFont="1" applyBorder="1" applyAlignment="1">
      <alignment horizontal="left"/>
    </xf>
    <xf numFmtId="0" fontId="4" fillId="0" borderId="25" xfId="4" applyFont="1" applyBorder="1" applyAlignment="1">
      <alignment horizontal="left"/>
    </xf>
    <xf numFmtId="0" fontId="4" fillId="0" borderId="14" xfId="4" applyFont="1" applyBorder="1" applyAlignment="1">
      <alignment horizontal="left"/>
    </xf>
    <xf numFmtId="0" fontId="4" fillId="0" borderId="5" xfId="4" applyFont="1" applyBorder="1" applyAlignment="1">
      <alignment horizontal="left"/>
    </xf>
    <xf numFmtId="0" fontId="4" fillId="0" borderId="24" xfId="4" applyFont="1" applyBorder="1" applyAlignment="1">
      <alignment horizontal="left"/>
    </xf>
    <xf numFmtId="0" fontId="4" fillId="0" borderId="17" xfId="4" applyFont="1" applyBorder="1" applyAlignment="1">
      <alignment horizontal="left"/>
    </xf>
    <xf numFmtId="0" fontId="4" fillId="0" borderId="23" xfId="4" applyFont="1" applyBorder="1" applyAlignment="1">
      <alignment horizontal="left"/>
    </xf>
    <xf numFmtId="0" fontId="4" fillId="0" borderId="22" xfId="4" applyFont="1" applyBorder="1" applyAlignment="1">
      <alignment horizontal="left"/>
    </xf>
    <xf numFmtId="0" fontId="4" fillId="0" borderId="0" xfId="4" applyFont="1" applyAlignment="1">
      <alignment horizontal="center"/>
    </xf>
    <xf numFmtId="0" fontId="12" fillId="0" borderId="19" xfId="4" applyFont="1" applyBorder="1" applyAlignment="1">
      <alignment horizontal="center"/>
    </xf>
    <xf numFmtId="0" fontId="12" fillId="0" borderId="20" xfId="4" applyFont="1" applyBorder="1" applyAlignment="1">
      <alignment horizontal="center"/>
    </xf>
    <xf numFmtId="0" fontId="12" fillId="0" borderId="21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4" fillId="0" borderId="13" xfId="4" applyFont="1" applyBorder="1" applyAlignment="1">
      <alignment horizontal="center"/>
    </xf>
    <xf numFmtId="0" fontId="4" fillId="0" borderId="14" xfId="4" applyFont="1" applyBorder="1" applyAlignment="1">
      <alignment horizontal="center"/>
    </xf>
    <xf numFmtId="0" fontId="4" fillId="0" borderId="5" xfId="4" applyFont="1" applyBorder="1" applyAlignment="1">
      <alignment horizontal="center"/>
    </xf>
    <xf numFmtId="0" fontId="4" fillId="0" borderId="1" xfId="4" applyFont="1" applyBorder="1" applyAlignment="1">
      <alignment horizontal="center" vertical="center" wrapText="1"/>
    </xf>
    <xf numFmtId="0" fontId="24" fillId="0" borderId="0" xfId="4" applyFont="1" applyAlignment="1">
      <alignment horizontal="center" vertical="top" wrapText="1"/>
    </xf>
    <xf numFmtId="0" fontId="25" fillId="0" borderId="0" xfId="4" applyFont="1" applyAlignment="1">
      <alignment horizontal="center" vertical="top" wrapText="1"/>
    </xf>
    <xf numFmtId="0" fontId="24" fillId="0" borderId="5" xfId="4" applyFont="1" applyBorder="1" applyAlignment="1">
      <alignment vertical="center" wrapText="1"/>
    </xf>
    <xf numFmtId="0" fontId="24" fillId="0" borderId="13" xfId="4" applyFont="1" applyBorder="1" applyAlignment="1">
      <alignment vertical="center" wrapText="1"/>
    </xf>
    <xf numFmtId="0" fontId="24" fillId="0" borderId="14" xfId="4" applyFont="1" applyBorder="1" applyAlignment="1">
      <alignment vertical="center" wrapText="1"/>
    </xf>
    <xf numFmtId="0" fontId="4" fillId="0" borderId="5" xfId="4" applyFont="1" applyBorder="1" applyAlignment="1">
      <alignment horizontal="left" vertical="center" wrapText="1"/>
    </xf>
    <xf numFmtId="0" fontId="4" fillId="0" borderId="13" xfId="4" applyFont="1" applyBorder="1" applyAlignment="1">
      <alignment horizontal="left" vertical="center" wrapText="1"/>
    </xf>
    <xf numFmtId="0" fontId="4" fillId="0" borderId="14" xfId="4" applyFont="1" applyBorder="1" applyAlignment="1">
      <alignment horizontal="left" vertical="center" wrapText="1"/>
    </xf>
    <xf numFmtId="0" fontId="26" fillId="0" borderId="5" xfId="2" applyFont="1" applyBorder="1" applyAlignment="1">
      <alignment horizontal="left" vertical="top" wrapText="1"/>
    </xf>
    <xf numFmtId="0" fontId="26" fillId="0" borderId="13" xfId="2" applyFont="1" applyBorder="1" applyAlignment="1">
      <alignment horizontal="left" vertical="top" wrapText="1"/>
    </xf>
    <xf numFmtId="0" fontId="26" fillId="0" borderId="14" xfId="2" applyFont="1" applyBorder="1" applyAlignment="1">
      <alignment horizontal="left" vertical="top" wrapText="1"/>
    </xf>
    <xf numFmtId="0" fontId="12" fillId="0" borderId="1" xfId="4" applyFont="1" applyBorder="1" applyAlignment="1">
      <alignment horizontal="left"/>
    </xf>
    <xf numFmtId="0" fontId="26" fillId="0" borderId="5" xfId="2" applyFont="1" applyFill="1" applyBorder="1" applyAlignment="1">
      <alignment horizontal="left" vertical="top" wrapText="1"/>
    </xf>
    <xf numFmtId="0" fontId="26" fillId="0" borderId="13" xfId="2" applyFont="1" applyFill="1" applyBorder="1" applyAlignment="1">
      <alignment horizontal="left" vertical="top" wrapText="1"/>
    </xf>
    <xf numFmtId="0" fontId="26" fillId="0" borderId="14" xfId="2" applyFont="1" applyFill="1" applyBorder="1" applyAlignment="1">
      <alignment horizontal="left" vertical="top" wrapText="1"/>
    </xf>
    <xf numFmtId="0" fontId="4" fillId="0" borderId="0" xfId="4" applyFont="1" applyBorder="1" applyAlignment="1">
      <alignment horizontal="left"/>
    </xf>
    <xf numFmtId="0" fontId="4" fillId="0" borderId="9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4" fillId="0" borderId="9" xfId="4" applyFont="1" applyBorder="1" applyAlignment="1">
      <alignment horizontal="left"/>
    </xf>
    <xf numFmtId="0" fontId="4" fillId="0" borderId="1" xfId="4" applyFont="1" applyBorder="1" applyAlignment="1">
      <alignment horizontal="left"/>
    </xf>
    <xf numFmtId="0" fontId="4" fillId="0" borderId="10" xfId="4" applyFont="1" applyBorder="1" applyAlignment="1">
      <alignment horizontal="left"/>
    </xf>
    <xf numFmtId="0" fontId="4" fillId="0" borderId="11" xfId="4" applyFont="1" applyBorder="1" applyAlignment="1">
      <alignment horizontal="left"/>
    </xf>
    <xf numFmtId="0" fontId="4" fillId="0" borderId="12" xfId="4" applyFont="1" applyBorder="1" applyAlignment="1">
      <alignment horizontal="left"/>
    </xf>
    <xf numFmtId="0" fontId="19" fillId="0" borderId="0" xfId="4" applyFont="1" applyAlignment="1">
      <alignment horizontal="center"/>
    </xf>
    <xf numFmtId="0" fontId="12" fillId="0" borderId="6" xfId="4" applyFont="1" applyBorder="1" applyAlignment="1">
      <alignment horizontal="center"/>
    </xf>
    <xf numFmtId="0" fontId="12" fillId="0" borderId="7" xfId="4" applyFont="1" applyBorder="1" applyAlignment="1">
      <alignment horizontal="center"/>
    </xf>
    <xf numFmtId="0" fontId="12" fillId="0" borderId="8" xfId="4" applyFont="1" applyBorder="1" applyAlignment="1">
      <alignment horizontal="center"/>
    </xf>
    <xf numFmtId="0" fontId="24" fillId="0" borderId="0" xfId="3" applyFont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top"/>
    </xf>
    <xf numFmtId="0" fontId="11" fillId="0" borderId="0" xfId="4" applyFont="1" applyAlignment="1">
      <alignment horizontal="center"/>
    </xf>
    <xf numFmtId="0" fontId="24" fillId="0" borderId="0" xfId="3" applyFont="1" applyAlignment="1">
      <alignment horizontal="center" vertical="center"/>
    </xf>
    <xf numFmtId="0" fontId="17" fillId="0" borderId="0" xfId="2" applyFont="1" applyBorder="1" applyAlignment="1">
      <alignment horizontal="left" vertical="top"/>
    </xf>
    <xf numFmtId="0" fontId="24" fillId="0" borderId="0" xfId="2" applyFont="1" applyBorder="1" applyAlignment="1">
      <alignment horizontal="left" vertical="top"/>
    </xf>
    <xf numFmtId="0" fontId="24" fillId="0" borderId="0" xfId="2" applyFont="1" applyBorder="1" applyAlignment="1">
      <alignment horizontal="left"/>
    </xf>
    <xf numFmtId="0" fontId="4" fillId="0" borderId="0" xfId="5" applyFont="1" applyAlignment="1">
      <alignment horizontal="center"/>
    </xf>
    <xf numFmtId="0" fontId="5" fillId="0" borderId="0" xfId="5" applyFont="1" applyAlignment="1">
      <alignment horizontal="left"/>
    </xf>
    <xf numFmtId="0" fontId="4" fillId="0" borderId="0" xfId="5" applyFont="1" applyAlignment="1">
      <alignment horizontal="left"/>
    </xf>
    <xf numFmtId="0" fontId="25" fillId="0" borderId="0" xfId="5" applyFont="1" applyAlignment="1">
      <alignment horizontal="center" vertical="top" wrapText="1"/>
    </xf>
    <xf numFmtId="0" fontId="4" fillId="0" borderId="1" xfId="5" applyFont="1" applyBorder="1" applyAlignment="1">
      <alignment horizontal="center"/>
    </xf>
    <xf numFmtId="0" fontId="23" fillId="0" borderId="5" xfId="5" applyFont="1" applyBorder="1" applyAlignment="1">
      <alignment horizontal="left"/>
    </xf>
    <xf numFmtId="0" fontId="23" fillId="0" borderId="13" xfId="5" applyFont="1" applyBorder="1" applyAlignment="1">
      <alignment horizontal="left"/>
    </xf>
    <xf numFmtId="0" fontId="23" fillId="0" borderId="14" xfId="5" applyFont="1" applyBorder="1" applyAlignment="1">
      <alignment horizontal="left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left"/>
    </xf>
    <xf numFmtId="0" fontId="24" fillId="0" borderId="0" xfId="5" applyFont="1" applyAlignment="1">
      <alignment horizontal="center" vertical="top" wrapText="1"/>
    </xf>
    <xf numFmtId="0" fontId="4" fillId="0" borderId="1" xfId="5" applyFont="1" applyBorder="1" applyAlignment="1">
      <alignment horizontal="center" vertical="center" wrapText="1"/>
    </xf>
    <xf numFmtId="0" fontId="12" fillId="0" borderId="0" xfId="5" applyFont="1" applyAlignment="1">
      <alignment horizontal="center"/>
    </xf>
    <xf numFmtId="0" fontId="4" fillId="0" borderId="0" xfId="5" applyFont="1" applyBorder="1" applyAlignment="1">
      <alignment horizontal="center"/>
    </xf>
    <xf numFmtId="0" fontId="4" fillId="0" borderId="0" xfId="5" applyFont="1" applyBorder="1" applyAlignment="1">
      <alignment horizontal="lef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3" xfId="3"/>
    <cellStyle name="Обычный 4" xfId="5"/>
    <cellStyle name="Обычный_БланкКальк." xfId="6"/>
    <cellStyle name="Обычный_Октябрь" xfId="7"/>
    <cellStyle name="Финансов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view="pageBreakPreview" zoomScaleNormal="100" zoomScaleSheetLayoutView="100" workbookViewId="0">
      <selection activeCell="A31" sqref="A31:F36"/>
    </sheetView>
  </sheetViews>
  <sheetFormatPr defaultRowHeight="15.75" x14ac:dyDescent="0.25"/>
  <cols>
    <col min="1" max="1" width="5" style="163" customWidth="1"/>
    <col min="2" max="2" width="24.42578125" style="163" customWidth="1"/>
    <col min="3" max="3" width="31.5703125" style="164" customWidth="1"/>
    <col min="4" max="4" width="8.5703125" style="164" customWidth="1"/>
    <col min="5" max="5" width="10" style="163" customWidth="1"/>
    <col min="6" max="6" width="23.42578125" style="165" customWidth="1"/>
    <col min="7" max="7" width="22.140625" style="165" customWidth="1"/>
    <col min="8" max="8" width="26.7109375" style="166" customWidth="1"/>
    <col min="9" max="9" width="11.5703125" style="163" bestFit="1" customWidth="1"/>
    <col min="10" max="10" width="12.7109375" style="163" bestFit="1" customWidth="1"/>
    <col min="11" max="11" width="16.28515625" style="163" customWidth="1"/>
    <col min="12" max="12" width="14.28515625" style="163" customWidth="1"/>
    <col min="13" max="13" width="14.7109375" style="163" customWidth="1"/>
    <col min="14" max="14" width="13.28515625" style="163" customWidth="1"/>
    <col min="15" max="254" width="9.140625" style="163"/>
    <col min="255" max="255" width="5" style="163" customWidth="1"/>
    <col min="256" max="256" width="24.42578125" style="163" customWidth="1"/>
    <col min="257" max="257" width="31.5703125" style="163" customWidth="1"/>
    <col min="258" max="258" width="8.5703125" style="163" customWidth="1"/>
    <col min="259" max="259" width="10" style="163" customWidth="1"/>
    <col min="260" max="260" width="23.42578125" style="163" customWidth="1"/>
    <col min="261" max="261" width="13.42578125" style="163" customWidth="1"/>
    <col min="262" max="262" width="23.42578125" style="163" customWidth="1"/>
    <col min="263" max="263" width="22.140625" style="163" customWidth="1"/>
    <col min="264" max="264" width="26.7109375" style="163" customWidth="1"/>
    <col min="265" max="265" width="11.5703125" style="163" bestFit="1" customWidth="1"/>
    <col min="266" max="266" width="12.7109375" style="163" bestFit="1" customWidth="1"/>
    <col min="267" max="267" width="16.28515625" style="163" customWidth="1"/>
    <col min="268" max="268" width="14.28515625" style="163" customWidth="1"/>
    <col min="269" max="269" width="14.7109375" style="163" customWidth="1"/>
    <col min="270" max="270" width="13.28515625" style="163" customWidth="1"/>
    <col min="271" max="510" width="9.140625" style="163"/>
    <col min="511" max="511" width="5" style="163" customWidth="1"/>
    <col min="512" max="512" width="24.42578125" style="163" customWidth="1"/>
    <col min="513" max="513" width="31.5703125" style="163" customWidth="1"/>
    <col min="514" max="514" width="8.5703125" style="163" customWidth="1"/>
    <col min="515" max="515" width="10" style="163" customWidth="1"/>
    <col min="516" max="516" width="23.42578125" style="163" customWidth="1"/>
    <col min="517" max="517" width="13.42578125" style="163" customWidth="1"/>
    <col min="518" max="518" width="23.42578125" style="163" customWidth="1"/>
    <col min="519" max="519" width="22.140625" style="163" customWidth="1"/>
    <col min="520" max="520" width="26.7109375" style="163" customWidth="1"/>
    <col min="521" max="521" width="11.5703125" style="163" bestFit="1" customWidth="1"/>
    <col min="522" max="522" width="12.7109375" style="163" bestFit="1" customWidth="1"/>
    <col min="523" max="523" width="16.28515625" style="163" customWidth="1"/>
    <col min="524" max="524" width="14.28515625" style="163" customWidth="1"/>
    <col min="525" max="525" width="14.7109375" style="163" customWidth="1"/>
    <col min="526" max="526" width="13.28515625" style="163" customWidth="1"/>
    <col min="527" max="766" width="9.140625" style="163"/>
    <col min="767" max="767" width="5" style="163" customWidth="1"/>
    <col min="768" max="768" width="24.42578125" style="163" customWidth="1"/>
    <col min="769" max="769" width="31.5703125" style="163" customWidth="1"/>
    <col min="770" max="770" width="8.5703125" style="163" customWidth="1"/>
    <col min="771" max="771" width="10" style="163" customWidth="1"/>
    <col min="772" max="772" width="23.42578125" style="163" customWidth="1"/>
    <col min="773" max="773" width="13.42578125" style="163" customWidth="1"/>
    <col min="774" max="774" width="23.42578125" style="163" customWidth="1"/>
    <col min="775" max="775" width="22.140625" style="163" customWidth="1"/>
    <col min="776" max="776" width="26.7109375" style="163" customWidth="1"/>
    <col min="777" max="777" width="11.5703125" style="163" bestFit="1" customWidth="1"/>
    <col min="778" max="778" width="12.7109375" style="163" bestFit="1" customWidth="1"/>
    <col min="779" max="779" width="16.28515625" style="163" customWidth="1"/>
    <col min="780" max="780" width="14.28515625" style="163" customWidth="1"/>
    <col min="781" max="781" width="14.7109375" style="163" customWidth="1"/>
    <col min="782" max="782" width="13.28515625" style="163" customWidth="1"/>
    <col min="783" max="1022" width="9.140625" style="163"/>
    <col min="1023" max="1023" width="5" style="163" customWidth="1"/>
    <col min="1024" max="1024" width="24.42578125" style="163" customWidth="1"/>
    <col min="1025" max="1025" width="31.5703125" style="163" customWidth="1"/>
    <col min="1026" max="1026" width="8.5703125" style="163" customWidth="1"/>
    <col min="1027" max="1027" width="10" style="163" customWidth="1"/>
    <col min="1028" max="1028" width="23.42578125" style="163" customWidth="1"/>
    <col min="1029" max="1029" width="13.42578125" style="163" customWidth="1"/>
    <col min="1030" max="1030" width="23.42578125" style="163" customWidth="1"/>
    <col min="1031" max="1031" width="22.140625" style="163" customWidth="1"/>
    <col min="1032" max="1032" width="26.7109375" style="163" customWidth="1"/>
    <col min="1033" max="1033" width="11.5703125" style="163" bestFit="1" customWidth="1"/>
    <col min="1034" max="1034" width="12.7109375" style="163" bestFit="1" customWidth="1"/>
    <col min="1035" max="1035" width="16.28515625" style="163" customWidth="1"/>
    <col min="1036" max="1036" width="14.28515625" style="163" customWidth="1"/>
    <col min="1037" max="1037" width="14.7109375" style="163" customWidth="1"/>
    <col min="1038" max="1038" width="13.28515625" style="163" customWidth="1"/>
    <col min="1039" max="1278" width="9.140625" style="163"/>
    <col min="1279" max="1279" width="5" style="163" customWidth="1"/>
    <col min="1280" max="1280" width="24.42578125" style="163" customWidth="1"/>
    <col min="1281" max="1281" width="31.5703125" style="163" customWidth="1"/>
    <col min="1282" max="1282" width="8.5703125" style="163" customWidth="1"/>
    <col min="1283" max="1283" width="10" style="163" customWidth="1"/>
    <col min="1284" max="1284" width="23.42578125" style="163" customWidth="1"/>
    <col min="1285" max="1285" width="13.42578125" style="163" customWidth="1"/>
    <col min="1286" max="1286" width="23.42578125" style="163" customWidth="1"/>
    <col min="1287" max="1287" width="22.140625" style="163" customWidth="1"/>
    <col min="1288" max="1288" width="26.7109375" style="163" customWidth="1"/>
    <col min="1289" max="1289" width="11.5703125" style="163" bestFit="1" customWidth="1"/>
    <col min="1290" max="1290" width="12.7109375" style="163" bestFit="1" customWidth="1"/>
    <col min="1291" max="1291" width="16.28515625" style="163" customWidth="1"/>
    <col min="1292" max="1292" width="14.28515625" style="163" customWidth="1"/>
    <col min="1293" max="1293" width="14.7109375" style="163" customWidth="1"/>
    <col min="1294" max="1294" width="13.28515625" style="163" customWidth="1"/>
    <col min="1295" max="1534" width="9.140625" style="163"/>
    <col min="1535" max="1535" width="5" style="163" customWidth="1"/>
    <col min="1536" max="1536" width="24.42578125" style="163" customWidth="1"/>
    <col min="1537" max="1537" width="31.5703125" style="163" customWidth="1"/>
    <col min="1538" max="1538" width="8.5703125" style="163" customWidth="1"/>
    <col min="1539" max="1539" width="10" style="163" customWidth="1"/>
    <col min="1540" max="1540" width="23.42578125" style="163" customWidth="1"/>
    <col min="1541" max="1541" width="13.42578125" style="163" customWidth="1"/>
    <col min="1542" max="1542" width="23.42578125" style="163" customWidth="1"/>
    <col min="1543" max="1543" width="22.140625" style="163" customWidth="1"/>
    <col min="1544" max="1544" width="26.7109375" style="163" customWidth="1"/>
    <col min="1545" max="1545" width="11.5703125" style="163" bestFit="1" customWidth="1"/>
    <col min="1546" max="1546" width="12.7109375" style="163" bestFit="1" customWidth="1"/>
    <col min="1547" max="1547" width="16.28515625" style="163" customWidth="1"/>
    <col min="1548" max="1548" width="14.28515625" style="163" customWidth="1"/>
    <col min="1549" max="1549" width="14.7109375" style="163" customWidth="1"/>
    <col min="1550" max="1550" width="13.28515625" style="163" customWidth="1"/>
    <col min="1551" max="1790" width="9.140625" style="163"/>
    <col min="1791" max="1791" width="5" style="163" customWidth="1"/>
    <col min="1792" max="1792" width="24.42578125" style="163" customWidth="1"/>
    <col min="1793" max="1793" width="31.5703125" style="163" customWidth="1"/>
    <col min="1794" max="1794" width="8.5703125" style="163" customWidth="1"/>
    <col min="1795" max="1795" width="10" style="163" customWidth="1"/>
    <col min="1796" max="1796" width="23.42578125" style="163" customWidth="1"/>
    <col min="1797" max="1797" width="13.42578125" style="163" customWidth="1"/>
    <col min="1798" max="1798" width="23.42578125" style="163" customWidth="1"/>
    <col min="1799" max="1799" width="22.140625" style="163" customWidth="1"/>
    <col min="1800" max="1800" width="26.7109375" style="163" customWidth="1"/>
    <col min="1801" max="1801" width="11.5703125" style="163" bestFit="1" customWidth="1"/>
    <col min="1802" max="1802" width="12.7109375" style="163" bestFit="1" customWidth="1"/>
    <col min="1803" max="1803" width="16.28515625" style="163" customWidth="1"/>
    <col min="1804" max="1804" width="14.28515625" style="163" customWidth="1"/>
    <col min="1805" max="1805" width="14.7109375" style="163" customWidth="1"/>
    <col min="1806" max="1806" width="13.28515625" style="163" customWidth="1"/>
    <col min="1807" max="2046" width="9.140625" style="163"/>
    <col min="2047" max="2047" width="5" style="163" customWidth="1"/>
    <col min="2048" max="2048" width="24.42578125" style="163" customWidth="1"/>
    <col min="2049" max="2049" width="31.5703125" style="163" customWidth="1"/>
    <col min="2050" max="2050" width="8.5703125" style="163" customWidth="1"/>
    <col min="2051" max="2051" width="10" style="163" customWidth="1"/>
    <col min="2052" max="2052" width="23.42578125" style="163" customWidth="1"/>
    <col min="2053" max="2053" width="13.42578125" style="163" customWidth="1"/>
    <col min="2054" max="2054" width="23.42578125" style="163" customWidth="1"/>
    <col min="2055" max="2055" width="22.140625" style="163" customWidth="1"/>
    <col min="2056" max="2056" width="26.7109375" style="163" customWidth="1"/>
    <col min="2057" max="2057" width="11.5703125" style="163" bestFit="1" customWidth="1"/>
    <col min="2058" max="2058" width="12.7109375" style="163" bestFit="1" customWidth="1"/>
    <col min="2059" max="2059" width="16.28515625" style="163" customWidth="1"/>
    <col min="2060" max="2060" width="14.28515625" style="163" customWidth="1"/>
    <col min="2061" max="2061" width="14.7109375" style="163" customWidth="1"/>
    <col min="2062" max="2062" width="13.28515625" style="163" customWidth="1"/>
    <col min="2063" max="2302" width="9.140625" style="163"/>
    <col min="2303" max="2303" width="5" style="163" customWidth="1"/>
    <col min="2304" max="2304" width="24.42578125" style="163" customWidth="1"/>
    <col min="2305" max="2305" width="31.5703125" style="163" customWidth="1"/>
    <col min="2306" max="2306" width="8.5703125" style="163" customWidth="1"/>
    <col min="2307" max="2307" width="10" style="163" customWidth="1"/>
    <col min="2308" max="2308" width="23.42578125" style="163" customWidth="1"/>
    <col min="2309" max="2309" width="13.42578125" style="163" customWidth="1"/>
    <col min="2310" max="2310" width="23.42578125" style="163" customWidth="1"/>
    <col min="2311" max="2311" width="22.140625" style="163" customWidth="1"/>
    <col min="2312" max="2312" width="26.7109375" style="163" customWidth="1"/>
    <col min="2313" max="2313" width="11.5703125" style="163" bestFit="1" customWidth="1"/>
    <col min="2314" max="2314" width="12.7109375" style="163" bestFit="1" customWidth="1"/>
    <col min="2315" max="2315" width="16.28515625" style="163" customWidth="1"/>
    <col min="2316" max="2316" width="14.28515625" style="163" customWidth="1"/>
    <col min="2317" max="2317" width="14.7109375" style="163" customWidth="1"/>
    <col min="2318" max="2318" width="13.28515625" style="163" customWidth="1"/>
    <col min="2319" max="2558" width="9.140625" style="163"/>
    <col min="2559" max="2559" width="5" style="163" customWidth="1"/>
    <col min="2560" max="2560" width="24.42578125" style="163" customWidth="1"/>
    <col min="2561" max="2561" width="31.5703125" style="163" customWidth="1"/>
    <col min="2562" max="2562" width="8.5703125" style="163" customWidth="1"/>
    <col min="2563" max="2563" width="10" style="163" customWidth="1"/>
    <col min="2564" max="2564" width="23.42578125" style="163" customWidth="1"/>
    <col min="2565" max="2565" width="13.42578125" style="163" customWidth="1"/>
    <col min="2566" max="2566" width="23.42578125" style="163" customWidth="1"/>
    <col min="2567" max="2567" width="22.140625" style="163" customWidth="1"/>
    <col min="2568" max="2568" width="26.7109375" style="163" customWidth="1"/>
    <col min="2569" max="2569" width="11.5703125" style="163" bestFit="1" customWidth="1"/>
    <col min="2570" max="2570" width="12.7109375" style="163" bestFit="1" customWidth="1"/>
    <col min="2571" max="2571" width="16.28515625" style="163" customWidth="1"/>
    <col min="2572" max="2572" width="14.28515625" style="163" customWidth="1"/>
    <col min="2573" max="2573" width="14.7109375" style="163" customWidth="1"/>
    <col min="2574" max="2574" width="13.28515625" style="163" customWidth="1"/>
    <col min="2575" max="2814" width="9.140625" style="163"/>
    <col min="2815" max="2815" width="5" style="163" customWidth="1"/>
    <col min="2816" max="2816" width="24.42578125" style="163" customWidth="1"/>
    <col min="2817" max="2817" width="31.5703125" style="163" customWidth="1"/>
    <col min="2818" max="2818" width="8.5703125" style="163" customWidth="1"/>
    <col min="2819" max="2819" width="10" style="163" customWidth="1"/>
    <col min="2820" max="2820" width="23.42578125" style="163" customWidth="1"/>
    <col min="2821" max="2821" width="13.42578125" style="163" customWidth="1"/>
    <col min="2822" max="2822" width="23.42578125" style="163" customWidth="1"/>
    <col min="2823" max="2823" width="22.140625" style="163" customWidth="1"/>
    <col min="2824" max="2824" width="26.7109375" style="163" customWidth="1"/>
    <col min="2825" max="2825" width="11.5703125" style="163" bestFit="1" customWidth="1"/>
    <col min="2826" max="2826" width="12.7109375" style="163" bestFit="1" customWidth="1"/>
    <col min="2827" max="2827" width="16.28515625" style="163" customWidth="1"/>
    <col min="2828" max="2828" width="14.28515625" style="163" customWidth="1"/>
    <col min="2829" max="2829" width="14.7109375" style="163" customWidth="1"/>
    <col min="2830" max="2830" width="13.28515625" style="163" customWidth="1"/>
    <col min="2831" max="3070" width="9.140625" style="163"/>
    <col min="3071" max="3071" width="5" style="163" customWidth="1"/>
    <col min="3072" max="3072" width="24.42578125" style="163" customWidth="1"/>
    <col min="3073" max="3073" width="31.5703125" style="163" customWidth="1"/>
    <col min="3074" max="3074" width="8.5703125" style="163" customWidth="1"/>
    <col min="3075" max="3075" width="10" style="163" customWidth="1"/>
    <col min="3076" max="3076" width="23.42578125" style="163" customWidth="1"/>
    <col min="3077" max="3077" width="13.42578125" style="163" customWidth="1"/>
    <col min="3078" max="3078" width="23.42578125" style="163" customWidth="1"/>
    <col min="3079" max="3079" width="22.140625" style="163" customWidth="1"/>
    <col min="3080" max="3080" width="26.7109375" style="163" customWidth="1"/>
    <col min="3081" max="3081" width="11.5703125" style="163" bestFit="1" customWidth="1"/>
    <col min="3082" max="3082" width="12.7109375" style="163" bestFit="1" customWidth="1"/>
    <col min="3083" max="3083" width="16.28515625" style="163" customWidth="1"/>
    <col min="3084" max="3084" width="14.28515625" style="163" customWidth="1"/>
    <col min="3085" max="3085" width="14.7109375" style="163" customWidth="1"/>
    <col min="3086" max="3086" width="13.28515625" style="163" customWidth="1"/>
    <col min="3087" max="3326" width="9.140625" style="163"/>
    <col min="3327" max="3327" width="5" style="163" customWidth="1"/>
    <col min="3328" max="3328" width="24.42578125" style="163" customWidth="1"/>
    <col min="3329" max="3329" width="31.5703125" style="163" customWidth="1"/>
    <col min="3330" max="3330" width="8.5703125" style="163" customWidth="1"/>
    <col min="3331" max="3331" width="10" style="163" customWidth="1"/>
    <col min="3332" max="3332" width="23.42578125" style="163" customWidth="1"/>
    <col min="3333" max="3333" width="13.42578125" style="163" customWidth="1"/>
    <col min="3334" max="3334" width="23.42578125" style="163" customWidth="1"/>
    <col min="3335" max="3335" width="22.140625" style="163" customWidth="1"/>
    <col min="3336" max="3336" width="26.7109375" style="163" customWidth="1"/>
    <col min="3337" max="3337" width="11.5703125" style="163" bestFit="1" customWidth="1"/>
    <col min="3338" max="3338" width="12.7109375" style="163" bestFit="1" customWidth="1"/>
    <col min="3339" max="3339" width="16.28515625" style="163" customWidth="1"/>
    <col min="3340" max="3340" width="14.28515625" style="163" customWidth="1"/>
    <col min="3341" max="3341" width="14.7109375" style="163" customWidth="1"/>
    <col min="3342" max="3342" width="13.28515625" style="163" customWidth="1"/>
    <col min="3343" max="3582" width="9.140625" style="163"/>
    <col min="3583" max="3583" width="5" style="163" customWidth="1"/>
    <col min="3584" max="3584" width="24.42578125" style="163" customWidth="1"/>
    <col min="3585" max="3585" width="31.5703125" style="163" customWidth="1"/>
    <col min="3586" max="3586" width="8.5703125" style="163" customWidth="1"/>
    <col min="3587" max="3587" width="10" style="163" customWidth="1"/>
    <col min="3588" max="3588" width="23.42578125" style="163" customWidth="1"/>
    <col min="3589" max="3589" width="13.42578125" style="163" customWidth="1"/>
    <col min="3590" max="3590" width="23.42578125" style="163" customWidth="1"/>
    <col min="3591" max="3591" width="22.140625" style="163" customWidth="1"/>
    <col min="3592" max="3592" width="26.7109375" style="163" customWidth="1"/>
    <col min="3593" max="3593" width="11.5703125" style="163" bestFit="1" customWidth="1"/>
    <col min="3594" max="3594" width="12.7109375" style="163" bestFit="1" customWidth="1"/>
    <col min="3595" max="3595" width="16.28515625" style="163" customWidth="1"/>
    <col min="3596" max="3596" width="14.28515625" style="163" customWidth="1"/>
    <col min="3597" max="3597" width="14.7109375" style="163" customWidth="1"/>
    <col min="3598" max="3598" width="13.28515625" style="163" customWidth="1"/>
    <col min="3599" max="3838" width="9.140625" style="163"/>
    <col min="3839" max="3839" width="5" style="163" customWidth="1"/>
    <col min="3840" max="3840" width="24.42578125" style="163" customWidth="1"/>
    <col min="3841" max="3841" width="31.5703125" style="163" customWidth="1"/>
    <col min="3842" max="3842" width="8.5703125" style="163" customWidth="1"/>
    <col min="3843" max="3843" width="10" style="163" customWidth="1"/>
    <col min="3844" max="3844" width="23.42578125" style="163" customWidth="1"/>
    <col min="3845" max="3845" width="13.42578125" style="163" customWidth="1"/>
    <col min="3846" max="3846" width="23.42578125" style="163" customWidth="1"/>
    <col min="3847" max="3847" width="22.140625" style="163" customWidth="1"/>
    <col min="3848" max="3848" width="26.7109375" style="163" customWidth="1"/>
    <col min="3849" max="3849" width="11.5703125" style="163" bestFit="1" customWidth="1"/>
    <col min="3850" max="3850" width="12.7109375" style="163" bestFit="1" customWidth="1"/>
    <col min="3851" max="3851" width="16.28515625" style="163" customWidth="1"/>
    <col min="3852" max="3852" width="14.28515625" style="163" customWidth="1"/>
    <col min="3853" max="3853" width="14.7109375" style="163" customWidth="1"/>
    <col min="3854" max="3854" width="13.28515625" style="163" customWidth="1"/>
    <col min="3855" max="4094" width="9.140625" style="163"/>
    <col min="4095" max="4095" width="5" style="163" customWidth="1"/>
    <col min="4096" max="4096" width="24.42578125" style="163" customWidth="1"/>
    <col min="4097" max="4097" width="31.5703125" style="163" customWidth="1"/>
    <col min="4098" max="4098" width="8.5703125" style="163" customWidth="1"/>
    <col min="4099" max="4099" width="10" style="163" customWidth="1"/>
    <col min="4100" max="4100" width="23.42578125" style="163" customWidth="1"/>
    <col min="4101" max="4101" width="13.42578125" style="163" customWidth="1"/>
    <col min="4102" max="4102" width="23.42578125" style="163" customWidth="1"/>
    <col min="4103" max="4103" width="22.140625" style="163" customWidth="1"/>
    <col min="4104" max="4104" width="26.7109375" style="163" customWidth="1"/>
    <col min="4105" max="4105" width="11.5703125" style="163" bestFit="1" customWidth="1"/>
    <col min="4106" max="4106" width="12.7109375" style="163" bestFit="1" customWidth="1"/>
    <col min="4107" max="4107" width="16.28515625" style="163" customWidth="1"/>
    <col min="4108" max="4108" width="14.28515625" style="163" customWidth="1"/>
    <col min="4109" max="4109" width="14.7109375" style="163" customWidth="1"/>
    <col min="4110" max="4110" width="13.28515625" style="163" customWidth="1"/>
    <col min="4111" max="4350" width="9.140625" style="163"/>
    <col min="4351" max="4351" width="5" style="163" customWidth="1"/>
    <col min="4352" max="4352" width="24.42578125" style="163" customWidth="1"/>
    <col min="4353" max="4353" width="31.5703125" style="163" customWidth="1"/>
    <col min="4354" max="4354" width="8.5703125" style="163" customWidth="1"/>
    <col min="4355" max="4355" width="10" style="163" customWidth="1"/>
    <col min="4356" max="4356" width="23.42578125" style="163" customWidth="1"/>
    <col min="4357" max="4357" width="13.42578125" style="163" customWidth="1"/>
    <col min="4358" max="4358" width="23.42578125" style="163" customWidth="1"/>
    <col min="4359" max="4359" width="22.140625" style="163" customWidth="1"/>
    <col min="4360" max="4360" width="26.7109375" style="163" customWidth="1"/>
    <col min="4361" max="4361" width="11.5703125" style="163" bestFit="1" customWidth="1"/>
    <col min="4362" max="4362" width="12.7109375" style="163" bestFit="1" customWidth="1"/>
    <col min="4363" max="4363" width="16.28515625" style="163" customWidth="1"/>
    <col min="4364" max="4364" width="14.28515625" style="163" customWidth="1"/>
    <col min="4365" max="4365" width="14.7109375" style="163" customWidth="1"/>
    <col min="4366" max="4366" width="13.28515625" style="163" customWidth="1"/>
    <col min="4367" max="4606" width="9.140625" style="163"/>
    <col min="4607" max="4607" width="5" style="163" customWidth="1"/>
    <col min="4608" max="4608" width="24.42578125" style="163" customWidth="1"/>
    <col min="4609" max="4609" width="31.5703125" style="163" customWidth="1"/>
    <col min="4610" max="4610" width="8.5703125" style="163" customWidth="1"/>
    <col min="4611" max="4611" width="10" style="163" customWidth="1"/>
    <col min="4612" max="4612" width="23.42578125" style="163" customWidth="1"/>
    <col min="4613" max="4613" width="13.42578125" style="163" customWidth="1"/>
    <col min="4614" max="4614" width="23.42578125" style="163" customWidth="1"/>
    <col min="4615" max="4615" width="22.140625" style="163" customWidth="1"/>
    <col min="4616" max="4616" width="26.7109375" style="163" customWidth="1"/>
    <col min="4617" max="4617" width="11.5703125" style="163" bestFit="1" customWidth="1"/>
    <col min="4618" max="4618" width="12.7109375" style="163" bestFit="1" customWidth="1"/>
    <col min="4619" max="4619" width="16.28515625" style="163" customWidth="1"/>
    <col min="4620" max="4620" width="14.28515625" style="163" customWidth="1"/>
    <col min="4621" max="4621" width="14.7109375" style="163" customWidth="1"/>
    <col min="4622" max="4622" width="13.28515625" style="163" customWidth="1"/>
    <col min="4623" max="4862" width="9.140625" style="163"/>
    <col min="4863" max="4863" width="5" style="163" customWidth="1"/>
    <col min="4864" max="4864" width="24.42578125" style="163" customWidth="1"/>
    <col min="4865" max="4865" width="31.5703125" style="163" customWidth="1"/>
    <col min="4866" max="4866" width="8.5703125" style="163" customWidth="1"/>
    <col min="4867" max="4867" width="10" style="163" customWidth="1"/>
    <col min="4868" max="4868" width="23.42578125" style="163" customWidth="1"/>
    <col min="4869" max="4869" width="13.42578125" style="163" customWidth="1"/>
    <col min="4870" max="4870" width="23.42578125" style="163" customWidth="1"/>
    <col min="4871" max="4871" width="22.140625" style="163" customWidth="1"/>
    <col min="4872" max="4872" width="26.7109375" style="163" customWidth="1"/>
    <col min="4873" max="4873" width="11.5703125" style="163" bestFit="1" customWidth="1"/>
    <col min="4874" max="4874" width="12.7109375" style="163" bestFit="1" customWidth="1"/>
    <col min="4875" max="4875" width="16.28515625" style="163" customWidth="1"/>
    <col min="4876" max="4876" width="14.28515625" style="163" customWidth="1"/>
    <col min="4877" max="4877" width="14.7109375" style="163" customWidth="1"/>
    <col min="4878" max="4878" width="13.28515625" style="163" customWidth="1"/>
    <col min="4879" max="5118" width="9.140625" style="163"/>
    <col min="5119" max="5119" width="5" style="163" customWidth="1"/>
    <col min="5120" max="5120" width="24.42578125" style="163" customWidth="1"/>
    <col min="5121" max="5121" width="31.5703125" style="163" customWidth="1"/>
    <col min="5122" max="5122" width="8.5703125" style="163" customWidth="1"/>
    <col min="5123" max="5123" width="10" style="163" customWidth="1"/>
    <col min="5124" max="5124" width="23.42578125" style="163" customWidth="1"/>
    <col min="5125" max="5125" width="13.42578125" style="163" customWidth="1"/>
    <col min="5126" max="5126" width="23.42578125" style="163" customWidth="1"/>
    <col min="5127" max="5127" width="22.140625" style="163" customWidth="1"/>
    <col min="5128" max="5128" width="26.7109375" style="163" customWidth="1"/>
    <col min="5129" max="5129" width="11.5703125" style="163" bestFit="1" customWidth="1"/>
    <col min="5130" max="5130" width="12.7109375" style="163" bestFit="1" customWidth="1"/>
    <col min="5131" max="5131" width="16.28515625" style="163" customWidth="1"/>
    <col min="5132" max="5132" width="14.28515625" style="163" customWidth="1"/>
    <col min="5133" max="5133" width="14.7109375" style="163" customWidth="1"/>
    <col min="5134" max="5134" width="13.28515625" style="163" customWidth="1"/>
    <col min="5135" max="5374" width="9.140625" style="163"/>
    <col min="5375" max="5375" width="5" style="163" customWidth="1"/>
    <col min="5376" max="5376" width="24.42578125" style="163" customWidth="1"/>
    <col min="5377" max="5377" width="31.5703125" style="163" customWidth="1"/>
    <col min="5378" max="5378" width="8.5703125" style="163" customWidth="1"/>
    <col min="5379" max="5379" width="10" style="163" customWidth="1"/>
    <col min="5380" max="5380" width="23.42578125" style="163" customWidth="1"/>
    <col min="5381" max="5381" width="13.42578125" style="163" customWidth="1"/>
    <col min="5382" max="5382" width="23.42578125" style="163" customWidth="1"/>
    <col min="5383" max="5383" width="22.140625" style="163" customWidth="1"/>
    <col min="5384" max="5384" width="26.7109375" style="163" customWidth="1"/>
    <col min="5385" max="5385" width="11.5703125" style="163" bestFit="1" customWidth="1"/>
    <col min="5386" max="5386" width="12.7109375" style="163" bestFit="1" customWidth="1"/>
    <col min="5387" max="5387" width="16.28515625" style="163" customWidth="1"/>
    <col min="5388" max="5388" width="14.28515625" style="163" customWidth="1"/>
    <col min="5389" max="5389" width="14.7109375" style="163" customWidth="1"/>
    <col min="5390" max="5390" width="13.28515625" style="163" customWidth="1"/>
    <col min="5391" max="5630" width="9.140625" style="163"/>
    <col min="5631" max="5631" width="5" style="163" customWidth="1"/>
    <col min="5632" max="5632" width="24.42578125" style="163" customWidth="1"/>
    <col min="5633" max="5633" width="31.5703125" style="163" customWidth="1"/>
    <col min="5634" max="5634" width="8.5703125" style="163" customWidth="1"/>
    <col min="5635" max="5635" width="10" style="163" customWidth="1"/>
    <col min="5636" max="5636" width="23.42578125" style="163" customWidth="1"/>
    <col min="5637" max="5637" width="13.42578125" style="163" customWidth="1"/>
    <col min="5638" max="5638" width="23.42578125" style="163" customWidth="1"/>
    <col min="5639" max="5639" width="22.140625" style="163" customWidth="1"/>
    <col min="5640" max="5640" width="26.7109375" style="163" customWidth="1"/>
    <col min="5641" max="5641" width="11.5703125" style="163" bestFit="1" customWidth="1"/>
    <col min="5642" max="5642" width="12.7109375" style="163" bestFit="1" customWidth="1"/>
    <col min="5643" max="5643" width="16.28515625" style="163" customWidth="1"/>
    <col min="5644" max="5644" width="14.28515625" style="163" customWidth="1"/>
    <col min="5645" max="5645" width="14.7109375" style="163" customWidth="1"/>
    <col min="5646" max="5646" width="13.28515625" style="163" customWidth="1"/>
    <col min="5647" max="5886" width="9.140625" style="163"/>
    <col min="5887" max="5887" width="5" style="163" customWidth="1"/>
    <col min="5888" max="5888" width="24.42578125" style="163" customWidth="1"/>
    <col min="5889" max="5889" width="31.5703125" style="163" customWidth="1"/>
    <col min="5890" max="5890" width="8.5703125" style="163" customWidth="1"/>
    <col min="5891" max="5891" width="10" style="163" customWidth="1"/>
    <col min="5892" max="5892" width="23.42578125" style="163" customWidth="1"/>
    <col min="5893" max="5893" width="13.42578125" style="163" customWidth="1"/>
    <col min="5894" max="5894" width="23.42578125" style="163" customWidth="1"/>
    <col min="5895" max="5895" width="22.140625" style="163" customWidth="1"/>
    <col min="5896" max="5896" width="26.7109375" style="163" customWidth="1"/>
    <col min="5897" max="5897" width="11.5703125" style="163" bestFit="1" customWidth="1"/>
    <col min="5898" max="5898" width="12.7109375" style="163" bestFit="1" customWidth="1"/>
    <col min="5899" max="5899" width="16.28515625" style="163" customWidth="1"/>
    <col min="5900" max="5900" width="14.28515625" style="163" customWidth="1"/>
    <col min="5901" max="5901" width="14.7109375" style="163" customWidth="1"/>
    <col min="5902" max="5902" width="13.28515625" style="163" customWidth="1"/>
    <col min="5903" max="6142" width="9.140625" style="163"/>
    <col min="6143" max="6143" width="5" style="163" customWidth="1"/>
    <col min="6144" max="6144" width="24.42578125" style="163" customWidth="1"/>
    <col min="6145" max="6145" width="31.5703125" style="163" customWidth="1"/>
    <col min="6146" max="6146" width="8.5703125" style="163" customWidth="1"/>
    <col min="6147" max="6147" width="10" style="163" customWidth="1"/>
    <col min="6148" max="6148" width="23.42578125" style="163" customWidth="1"/>
    <col min="6149" max="6149" width="13.42578125" style="163" customWidth="1"/>
    <col min="6150" max="6150" width="23.42578125" style="163" customWidth="1"/>
    <col min="6151" max="6151" width="22.140625" style="163" customWidth="1"/>
    <col min="6152" max="6152" width="26.7109375" style="163" customWidth="1"/>
    <col min="6153" max="6153" width="11.5703125" style="163" bestFit="1" customWidth="1"/>
    <col min="6154" max="6154" width="12.7109375" style="163" bestFit="1" customWidth="1"/>
    <col min="6155" max="6155" width="16.28515625" style="163" customWidth="1"/>
    <col min="6156" max="6156" width="14.28515625" style="163" customWidth="1"/>
    <col min="6157" max="6157" width="14.7109375" style="163" customWidth="1"/>
    <col min="6158" max="6158" width="13.28515625" style="163" customWidth="1"/>
    <col min="6159" max="6398" width="9.140625" style="163"/>
    <col min="6399" max="6399" width="5" style="163" customWidth="1"/>
    <col min="6400" max="6400" width="24.42578125" style="163" customWidth="1"/>
    <col min="6401" max="6401" width="31.5703125" style="163" customWidth="1"/>
    <col min="6402" max="6402" width="8.5703125" style="163" customWidth="1"/>
    <col min="6403" max="6403" width="10" style="163" customWidth="1"/>
    <col min="6404" max="6404" width="23.42578125" style="163" customWidth="1"/>
    <col min="6405" max="6405" width="13.42578125" style="163" customWidth="1"/>
    <col min="6406" max="6406" width="23.42578125" style="163" customWidth="1"/>
    <col min="6407" max="6407" width="22.140625" style="163" customWidth="1"/>
    <col min="6408" max="6408" width="26.7109375" style="163" customWidth="1"/>
    <col min="6409" max="6409" width="11.5703125" style="163" bestFit="1" customWidth="1"/>
    <col min="6410" max="6410" width="12.7109375" style="163" bestFit="1" customWidth="1"/>
    <col min="6411" max="6411" width="16.28515625" style="163" customWidth="1"/>
    <col min="6412" max="6412" width="14.28515625" style="163" customWidth="1"/>
    <col min="6413" max="6413" width="14.7109375" style="163" customWidth="1"/>
    <col min="6414" max="6414" width="13.28515625" style="163" customWidth="1"/>
    <col min="6415" max="6654" width="9.140625" style="163"/>
    <col min="6655" max="6655" width="5" style="163" customWidth="1"/>
    <col min="6656" max="6656" width="24.42578125" style="163" customWidth="1"/>
    <col min="6657" max="6657" width="31.5703125" style="163" customWidth="1"/>
    <col min="6658" max="6658" width="8.5703125" style="163" customWidth="1"/>
    <col min="6659" max="6659" width="10" style="163" customWidth="1"/>
    <col min="6660" max="6660" width="23.42578125" style="163" customWidth="1"/>
    <col min="6661" max="6661" width="13.42578125" style="163" customWidth="1"/>
    <col min="6662" max="6662" width="23.42578125" style="163" customWidth="1"/>
    <col min="6663" max="6663" width="22.140625" style="163" customWidth="1"/>
    <col min="6664" max="6664" width="26.7109375" style="163" customWidth="1"/>
    <col min="6665" max="6665" width="11.5703125" style="163" bestFit="1" customWidth="1"/>
    <col min="6666" max="6666" width="12.7109375" style="163" bestFit="1" customWidth="1"/>
    <col min="6667" max="6667" width="16.28515625" style="163" customWidth="1"/>
    <col min="6668" max="6668" width="14.28515625" style="163" customWidth="1"/>
    <col min="6669" max="6669" width="14.7109375" style="163" customWidth="1"/>
    <col min="6670" max="6670" width="13.28515625" style="163" customWidth="1"/>
    <col min="6671" max="6910" width="9.140625" style="163"/>
    <col min="6911" max="6911" width="5" style="163" customWidth="1"/>
    <col min="6912" max="6912" width="24.42578125" style="163" customWidth="1"/>
    <col min="6913" max="6913" width="31.5703125" style="163" customWidth="1"/>
    <col min="6914" max="6914" width="8.5703125" style="163" customWidth="1"/>
    <col min="6915" max="6915" width="10" style="163" customWidth="1"/>
    <col min="6916" max="6916" width="23.42578125" style="163" customWidth="1"/>
    <col min="6917" max="6917" width="13.42578125" style="163" customWidth="1"/>
    <col min="6918" max="6918" width="23.42578125" style="163" customWidth="1"/>
    <col min="6919" max="6919" width="22.140625" style="163" customWidth="1"/>
    <col min="6920" max="6920" width="26.7109375" style="163" customWidth="1"/>
    <col min="6921" max="6921" width="11.5703125" style="163" bestFit="1" customWidth="1"/>
    <col min="6922" max="6922" width="12.7109375" style="163" bestFit="1" customWidth="1"/>
    <col min="6923" max="6923" width="16.28515625" style="163" customWidth="1"/>
    <col min="6924" max="6924" width="14.28515625" style="163" customWidth="1"/>
    <col min="6925" max="6925" width="14.7109375" style="163" customWidth="1"/>
    <col min="6926" max="6926" width="13.28515625" style="163" customWidth="1"/>
    <col min="6927" max="7166" width="9.140625" style="163"/>
    <col min="7167" max="7167" width="5" style="163" customWidth="1"/>
    <col min="7168" max="7168" width="24.42578125" style="163" customWidth="1"/>
    <col min="7169" max="7169" width="31.5703125" style="163" customWidth="1"/>
    <col min="7170" max="7170" width="8.5703125" style="163" customWidth="1"/>
    <col min="7171" max="7171" width="10" style="163" customWidth="1"/>
    <col min="7172" max="7172" width="23.42578125" style="163" customWidth="1"/>
    <col min="7173" max="7173" width="13.42578125" style="163" customWidth="1"/>
    <col min="7174" max="7174" width="23.42578125" style="163" customWidth="1"/>
    <col min="7175" max="7175" width="22.140625" style="163" customWidth="1"/>
    <col min="7176" max="7176" width="26.7109375" style="163" customWidth="1"/>
    <col min="7177" max="7177" width="11.5703125" style="163" bestFit="1" customWidth="1"/>
    <col min="7178" max="7178" width="12.7109375" style="163" bestFit="1" customWidth="1"/>
    <col min="7179" max="7179" width="16.28515625" style="163" customWidth="1"/>
    <col min="7180" max="7180" width="14.28515625" style="163" customWidth="1"/>
    <col min="7181" max="7181" width="14.7109375" style="163" customWidth="1"/>
    <col min="7182" max="7182" width="13.28515625" style="163" customWidth="1"/>
    <col min="7183" max="7422" width="9.140625" style="163"/>
    <col min="7423" max="7423" width="5" style="163" customWidth="1"/>
    <col min="7424" max="7424" width="24.42578125" style="163" customWidth="1"/>
    <col min="7425" max="7425" width="31.5703125" style="163" customWidth="1"/>
    <col min="7426" max="7426" width="8.5703125" style="163" customWidth="1"/>
    <col min="7427" max="7427" width="10" style="163" customWidth="1"/>
    <col min="7428" max="7428" width="23.42578125" style="163" customWidth="1"/>
    <col min="7429" max="7429" width="13.42578125" style="163" customWidth="1"/>
    <col min="7430" max="7430" width="23.42578125" style="163" customWidth="1"/>
    <col min="7431" max="7431" width="22.140625" style="163" customWidth="1"/>
    <col min="7432" max="7432" width="26.7109375" style="163" customWidth="1"/>
    <col min="7433" max="7433" width="11.5703125" style="163" bestFit="1" customWidth="1"/>
    <col min="7434" max="7434" width="12.7109375" style="163" bestFit="1" customWidth="1"/>
    <col min="7435" max="7435" width="16.28515625" style="163" customWidth="1"/>
    <col min="7436" max="7436" width="14.28515625" style="163" customWidth="1"/>
    <col min="7437" max="7437" width="14.7109375" style="163" customWidth="1"/>
    <col min="7438" max="7438" width="13.28515625" style="163" customWidth="1"/>
    <col min="7439" max="7678" width="9.140625" style="163"/>
    <col min="7679" max="7679" width="5" style="163" customWidth="1"/>
    <col min="7680" max="7680" width="24.42578125" style="163" customWidth="1"/>
    <col min="7681" max="7681" width="31.5703125" style="163" customWidth="1"/>
    <col min="7682" max="7682" width="8.5703125" style="163" customWidth="1"/>
    <col min="7683" max="7683" width="10" style="163" customWidth="1"/>
    <col min="7684" max="7684" width="23.42578125" style="163" customWidth="1"/>
    <col min="7685" max="7685" width="13.42578125" style="163" customWidth="1"/>
    <col min="7686" max="7686" width="23.42578125" style="163" customWidth="1"/>
    <col min="7687" max="7687" width="22.140625" style="163" customWidth="1"/>
    <col min="7688" max="7688" width="26.7109375" style="163" customWidth="1"/>
    <col min="7689" max="7689" width="11.5703125" style="163" bestFit="1" customWidth="1"/>
    <col min="7690" max="7690" width="12.7109375" style="163" bestFit="1" customWidth="1"/>
    <col min="7691" max="7691" width="16.28515625" style="163" customWidth="1"/>
    <col min="7692" max="7692" width="14.28515625" style="163" customWidth="1"/>
    <col min="7693" max="7693" width="14.7109375" style="163" customWidth="1"/>
    <col min="7694" max="7694" width="13.28515625" style="163" customWidth="1"/>
    <col min="7695" max="7934" width="9.140625" style="163"/>
    <col min="7935" max="7935" width="5" style="163" customWidth="1"/>
    <col min="7936" max="7936" width="24.42578125" style="163" customWidth="1"/>
    <col min="7937" max="7937" width="31.5703125" style="163" customWidth="1"/>
    <col min="7938" max="7938" width="8.5703125" style="163" customWidth="1"/>
    <col min="7939" max="7939" width="10" style="163" customWidth="1"/>
    <col min="7940" max="7940" width="23.42578125" style="163" customWidth="1"/>
    <col min="7941" max="7941" width="13.42578125" style="163" customWidth="1"/>
    <col min="7942" max="7942" width="23.42578125" style="163" customWidth="1"/>
    <col min="7943" max="7943" width="22.140625" style="163" customWidth="1"/>
    <col min="7944" max="7944" width="26.7109375" style="163" customWidth="1"/>
    <col min="7945" max="7945" width="11.5703125" style="163" bestFit="1" customWidth="1"/>
    <col min="7946" max="7946" width="12.7109375" style="163" bestFit="1" customWidth="1"/>
    <col min="7947" max="7947" width="16.28515625" style="163" customWidth="1"/>
    <col min="7948" max="7948" width="14.28515625" style="163" customWidth="1"/>
    <col min="7949" max="7949" width="14.7109375" style="163" customWidth="1"/>
    <col min="7950" max="7950" width="13.28515625" style="163" customWidth="1"/>
    <col min="7951" max="8190" width="9.140625" style="163"/>
    <col min="8191" max="8191" width="5" style="163" customWidth="1"/>
    <col min="8192" max="8192" width="24.42578125" style="163" customWidth="1"/>
    <col min="8193" max="8193" width="31.5703125" style="163" customWidth="1"/>
    <col min="8194" max="8194" width="8.5703125" style="163" customWidth="1"/>
    <col min="8195" max="8195" width="10" style="163" customWidth="1"/>
    <col min="8196" max="8196" width="23.42578125" style="163" customWidth="1"/>
    <col min="8197" max="8197" width="13.42578125" style="163" customWidth="1"/>
    <col min="8198" max="8198" width="23.42578125" style="163" customWidth="1"/>
    <col min="8199" max="8199" width="22.140625" style="163" customWidth="1"/>
    <col min="8200" max="8200" width="26.7109375" style="163" customWidth="1"/>
    <col min="8201" max="8201" width="11.5703125" style="163" bestFit="1" customWidth="1"/>
    <col min="8202" max="8202" width="12.7109375" style="163" bestFit="1" customWidth="1"/>
    <col min="8203" max="8203" width="16.28515625" style="163" customWidth="1"/>
    <col min="8204" max="8204" width="14.28515625" style="163" customWidth="1"/>
    <col min="8205" max="8205" width="14.7109375" style="163" customWidth="1"/>
    <col min="8206" max="8206" width="13.28515625" style="163" customWidth="1"/>
    <col min="8207" max="8446" width="9.140625" style="163"/>
    <col min="8447" max="8447" width="5" style="163" customWidth="1"/>
    <col min="8448" max="8448" width="24.42578125" style="163" customWidth="1"/>
    <col min="8449" max="8449" width="31.5703125" style="163" customWidth="1"/>
    <col min="8450" max="8450" width="8.5703125" style="163" customWidth="1"/>
    <col min="8451" max="8451" width="10" style="163" customWidth="1"/>
    <col min="8452" max="8452" width="23.42578125" style="163" customWidth="1"/>
    <col min="8453" max="8453" width="13.42578125" style="163" customWidth="1"/>
    <col min="8454" max="8454" width="23.42578125" style="163" customWidth="1"/>
    <col min="8455" max="8455" width="22.140625" style="163" customWidth="1"/>
    <col min="8456" max="8456" width="26.7109375" style="163" customWidth="1"/>
    <col min="8457" max="8457" width="11.5703125" style="163" bestFit="1" customWidth="1"/>
    <col min="8458" max="8458" width="12.7109375" style="163" bestFit="1" customWidth="1"/>
    <col min="8459" max="8459" width="16.28515625" style="163" customWidth="1"/>
    <col min="8460" max="8460" width="14.28515625" style="163" customWidth="1"/>
    <col min="8461" max="8461" width="14.7109375" style="163" customWidth="1"/>
    <col min="8462" max="8462" width="13.28515625" style="163" customWidth="1"/>
    <col min="8463" max="8702" width="9.140625" style="163"/>
    <col min="8703" max="8703" width="5" style="163" customWidth="1"/>
    <col min="8704" max="8704" width="24.42578125" style="163" customWidth="1"/>
    <col min="8705" max="8705" width="31.5703125" style="163" customWidth="1"/>
    <col min="8706" max="8706" width="8.5703125" style="163" customWidth="1"/>
    <col min="8707" max="8707" width="10" style="163" customWidth="1"/>
    <col min="8708" max="8708" width="23.42578125" style="163" customWidth="1"/>
    <col min="8709" max="8709" width="13.42578125" style="163" customWidth="1"/>
    <col min="8710" max="8710" width="23.42578125" style="163" customWidth="1"/>
    <col min="8711" max="8711" width="22.140625" style="163" customWidth="1"/>
    <col min="8712" max="8712" width="26.7109375" style="163" customWidth="1"/>
    <col min="8713" max="8713" width="11.5703125" style="163" bestFit="1" customWidth="1"/>
    <col min="8714" max="8714" width="12.7109375" style="163" bestFit="1" customWidth="1"/>
    <col min="8715" max="8715" width="16.28515625" style="163" customWidth="1"/>
    <col min="8716" max="8716" width="14.28515625" style="163" customWidth="1"/>
    <col min="8717" max="8717" width="14.7109375" style="163" customWidth="1"/>
    <col min="8718" max="8718" width="13.28515625" style="163" customWidth="1"/>
    <col min="8719" max="8958" width="9.140625" style="163"/>
    <col min="8959" max="8959" width="5" style="163" customWidth="1"/>
    <col min="8960" max="8960" width="24.42578125" style="163" customWidth="1"/>
    <col min="8961" max="8961" width="31.5703125" style="163" customWidth="1"/>
    <col min="8962" max="8962" width="8.5703125" style="163" customWidth="1"/>
    <col min="8963" max="8963" width="10" style="163" customWidth="1"/>
    <col min="8964" max="8964" width="23.42578125" style="163" customWidth="1"/>
    <col min="8965" max="8965" width="13.42578125" style="163" customWidth="1"/>
    <col min="8966" max="8966" width="23.42578125" style="163" customWidth="1"/>
    <col min="8967" max="8967" width="22.140625" style="163" customWidth="1"/>
    <col min="8968" max="8968" width="26.7109375" style="163" customWidth="1"/>
    <col min="8969" max="8969" width="11.5703125" style="163" bestFit="1" customWidth="1"/>
    <col min="8970" max="8970" width="12.7109375" style="163" bestFit="1" customWidth="1"/>
    <col min="8971" max="8971" width="16.28515625" style="163" customWidth="1"/>
    <col min="8972" max="8972" width="14.28515625" style="163" customWidth="1"/>
    <col min="8973" max="8973" width="14.7109375" style="163" customWidth="1"/>
    <col min="8974" max="8974" width="13.28515625" style="163" customWidth="1"/>
    <col min="8975" max="9214" width="9.140625" style="163"/>
    <col min="9215" max="9215" width="5" style="163" customWidth="1"/>
    <col min="9216" max="9216" width="24.42578125" style="163" customWidth="1"/>
    <col min="9217" max="9217" width="31.5703125" style="163" customWidth="1"/>
    <col min="9218" max="9218" width="8.5703125" style="163" customWidth="1"/>
    <col min="9219" max="9219" width="10" style="163" customWidth="1"/>
    <col min="9220" max="9220" width="23.42578125" style="163" customWidth="1"/>
    <col min="9221" max="9221" width="13.42578125" style="163" customWidth="1"/>
    <col min="9222" max="9222" width="23.42578125" style="163" customWidth="1"/>
    <col min="9223" max="9223" width="22.140625" style="163" customWidth="1"/>
    <col min="9224" max="9224" width="26.7109375" style="163" customWidth="1"/>
    <col min="9225" max="9225" width="11.5703125" style="163" bestFit="1" customWidth="1"/>
    <col min="9226" max="9226" width="12.7109375" style="163" bestFit="1" customWidth="1"/>
    <col min="9227" max="9227" width="16.28515625" style="163" customWidth="1"/>
    <col min="9228" max="9228" width="14.28515625" style="163" customWidth="1"/>
    <col min="9229" max="9229" width="14.7109375" style="163" customWidth="1"/>
    <col min="9230" max="9230" width="13.28515625" style="163" customWidth="1"/>
    <col min="9231" max="9470" width="9.140625" style="163"/>
    <col min="9471" max="9471" width="5" style="163" customWidth="1"/>
    <col min="9472" max="9472" width="24.42578125" style="163" customWidth="1"/>
    <col min="9473" max="9473" width="31.5703125" style="163" customWidth="1"/>
    <col min="9474" max="9474" width="8.5703125" style="163" customWidth="1"/>
    <col min="9475" max="9475" width="10" style="163" customWidth="1"/>
    <col min="9476" max="9476" width="23.42578125" style="163" customWidth="1"/>
    <col min="9477" max="9477" width="13.42578125" style="163" customWidth="1"/>
    <col min="9478" max="9478" width="23.42578125" style="163" customWidth="1"/>
    <col min="9479" max="9479" width="22.140625" style="163" customWidth="1"/>
    <col min="9480" max="9480" width="26.7109375" style="163" customWidth="1"/>
    <col min="9481" max="9481" width="11.5703125" style="163" bestFit="1" customWidth="1"/>
    <col min="9482" max="9482" width="12.7109375" style="163" bestFit="1" customWidth="1"/>
    <col min="9483" max="9483" width="16.28515625" style="163" customWidth="1"/>
    <col min="9484" max="9484" width="14.28515625" style="163" customWidth="1"/>
    <col min="9485" max="9485" width="14.7109375" style="163" customWidth="1"/>
    <col min="9486" max="9486" width="13.28515625" style="163" customWidth="1"/>
    <col min="9487" max="9726" width="9.140625" style="163"/>
    <col min="9727" max="9727" width="5" style="163" customWidth="1"/>
    <col min="9728" max="9728" width="24.42578125" style="163" customWidth="1"/>
    <col min="9729" max="9729" width="31.5703125" style="163" customWidth="1"/>
    <col min="9730" max="9730" width="8.5703125" style="163" customWidth="1"/>
    <col min="9731" max="9731" width="10" style="163" customWidth="1"/>
    <col min="9732" max="9732" width="23.42578125" style="163" customWidth="1"/>
    <col min="9733" max="9733" width="13.42578125" style="163" customWidth="1"/>
    <col min="9734" max="9734" width="23.42578125" style="163" customWidth="1"/>
    <col min="9735" max="9735" width="22.140625" style="163" customWidth="1"/>
    <col min="9736" max="9736" width="26.7109375" style="163" customWidth="1"/>
    <col min="9737" max="9737" width="11.5703125" style="163" bestFit="1" customWidth="1"/>
    <col min="9738" max="9738" width="12.7109375" style="163" bestFit="1" customWidth="1"/>
    <col min="9739" max="9739" width="16.28515625" style="163" customWidth="1"/>
    <col min="9740" max="9740" width="14.28515625" style="163" customWidth="1"/>
    <col min="9741" max="9741" width="14.7109375" style="163" customWidth="1"/>
    <col min="9742" max="9742" width="13.28515625" style="163" customWidth="1"/>
    <col min="9743" max="9982" width="9.140625" style="163"/>
    <col min="9983" max="9983" width="5" style="163" customWidth="1"/>
    <col min="9984" max="9984" width="24.42578125" style="163" customWidth="1"/>
    <col min="9985" max="9985" width="31.5703125" style="163" customWidth="1"/>
    <col min="9986" max="9986" width="8.5703125" style="163" customWidth="1"/>
    <col min="9987" max="9987" width="10" style="163" customWidth="1"/>
    <col min="9988" max="9988" width="23.42578125" style="163" customWidth="1"/>
    <col min="9989" max="9989" width="13.42578125" style="163" customWidth="1"/>
    <col min="9990" max="9990" width="23.42578125" style="163" customWidth="1"/>
    <col min="9991" max="9991" width="22.140625" style="163" customWidth="1"/>
    <col min="9992" max="9992" width="26.7109375" style="163" customWidth="1"/>
    <col min="9993" max="9993" width="11.5703125" style="163" bestFit="1" customWidth="1"/>
    <col min="9994" max="9994" width="12.7109375" style="163" bestFit="1" customWidth="1"/>
    <col min="9995" max="9995" width="16.28515625" style="163" customWidth="1"/>
    <col min="9996" max="9996" width="14.28515625" style="163" customWidth="1"/>
    <col min="9997" max="9997" width="14.7109375" style="163" customWidth="1"/>
    <col min="9998" max="9998" width="13.28515625" style="163" customWidth="1"/>
    <col min="9999" max="10238" width="9.140625" style="163"/>
    <col min="10239" max="10239" width="5" style="163" customWidth="1"/>
    <col min="10240" max="10240" width="24.42578125" style="163" customWidth="1"/>
    <col min="10241" max="10241" width="31.5703125" style="163" customWidth="1"/>
    <col min="10242" max="10242" width="8.5703125" style="163" customWidth="1"/>
    <col min="10243" max="10243" width="10" style="163" customWidth="1"/>
    <col min="10244" max="10244" width="23.42578125" style="163" customWidth="1"/>
    <col min="10245" max="10245" width="13.42578125" style="163" customWidth="1"/>
    <col min="10246" max="10246" width="23.42578125" style="163" customWidth="1"/>
    <col min="10247" max="10247" width="22.140625" style="163" customWidth="1"/>
    <col min="10248" max="10248" width="26.7109375" style="163" customWidth="1"/>
    <col min="10249" max="10249" width="11.5703125" style="163" bestFit="1" customWidth="1"/>
    <col min="10250" max="10250" width="12.7109375" style="163" bestFit="1" customWidth="1"/>
    <col min="10251" max="10251" width="16.28515625" style="163" customWidth="1"/>
    <col min="10252" max="10252" width="14.28515625" style="163" customWidth="1"/>
    <col min="10253" max="10253" width="14.7109375" style="163" customWidth="1"/>
    <col min="10254" max="10254" width="13.28515625" style="163" customWidth="1"/>
    <col min="10255" max="10494" width="9.140625" style="163"/>
    <col min="10495" max="10495" width="5" style="163" customWidth="1"/>
    <col min="10496" max="10496" width="24.42578125" style="163" customWidth="1"/>
    <col min="10497" max="10497" width="31.5703125" style="163" customWidth="1"/>
    <col min="10498" max="10498" width="8.5703125" style="163" customWidth="1"/>
    <col min="10499" max="10499" width="10" style="163" customWidth="1"/>
    <col min="10500" max="10500" width="23.42578125" style="163" customWidth="1"/>
    <col min="10501" max="10501" width="13.42578125" style="163" customWidth="1"/>
    <col min="10502" max="10502" width="23.42578125" style="163" customWidth="1"/>
    <col min="10503" max="10503" width="22.140625" style="163" customWidth="1"/>
    <col min="10504" max="10504" width="26.7109375" style="163" customWidth="1"/>
    <col min="10505" max="10505" width="11.5703125" style="163" bestFit="1" customWidth="1"/>
    <col min="10506" max="10506" width="12.7109375" style="163" bestFit="1" customWidth="1"/>
    <col min="10507" max="10507" width="16.28515625" style="163" customWidth="1"/>
    <col min="10508" max="10508" width="14.28515625" style="163" customWidth="1"/>
    <col min="10509" max="10509" width="14.7109375" style="163" customWidth="1"/>
    <col min="10510" max="10510" width="13.28515625" style="163" customWidth="1"/>
    <col min="10511" max="10750" width="9.140625" style="163"/>
    <col min="10751" max="10751" width="5" style="163" customWidth="1"/>
    <col min="10752" max="10752" width="24.42578125" style="163" customWidth="1"/>
    <col min="10753" max="10753" width="31.5703125" style="163" customWidth="1"/>
    <col min="10754" max="10754" width="8.5703125" style="163" customWidth="1"/>
    <col min="10755" max="10755" width="10" style="163" customWidth="1"/>
    <col min="10756" max="10756" width="23.42578125" style="163" customWidth="1"/>
    <col min="10757" max="10757" width="13.42578125" style="163" customWidth="1"/>
    <col min="10758" max="10758" width="23.42578125" style="163" customWidth="1"/>
    <col min="10759" max="10759" width="22.140625" style="163" customWidth="1"/>
    <col min="10760" max="10760" width="26.7109375" style="163" customWidth="1"/>
    <col min="10761" max="10761" width="11.5703125" style="163" bestFit="1" customWidth="1"/>
    <col min="10762" max="10762" width="12.7109375" style="163" bestFit="1" customWidth="1"/>
    <col min="10763" max="10763" width="16.28515625" style="163" customWidth="1"/>
    <col min="10764" max="10764" width="14.28515625" style="163" customWidth="1"/>
    <col min="10765" max="10765" width="14.7109375" style="163" customWidth="1"/>
    <col min="10766" max="10766" width="13.28515625" style="163" customWidth="1"/>
    <col min="10767" max="11006" width="9.140625" style="163"/>
    <col min="11007" max="11007" width="5" style="163" customWidth="1"/>
    <col min="11008" max="11008" width="24.42578125" style="163" customWidth="1"/>
    <col min="11009" max="11009" width="31.5703125" style="163" customWidth="1"/>
    <col min="11010" max="11010" width="8.5703125" style="163" customWidth="1"/>
    <col min="11011" max="11011" width="10" style="163" customWidth="1"/>
    <col min="11012" max="11012" width="23.42578125" style="163" customWidth="1"/>
    <col min="11013" max="11013" width="13.42578125" style="163" customWidth="1"/>
    <col min="11014" max="11014" width="23.42578125" style="163" customWidth="1"/>
    <col min="11015" max="11015" width="22.140625" style="163" customWidth="1"/>
    <col min="11016" max="11016" width="26.7109375" style="163" customWidth="1"/>
    <col min="11017" max="11017" width="11.5703125" style="163" bestFit="1" customWidth="1"/>
    <col min="11018" max="11018" width="12.7109375" style="163" bestFit="1" customWidth="1"/>
    <col min="11019" max="11019" width="16.28515625" style="163" customWidth="1"/>
    <col min="11020" max="11020" width="14.28515625" style="163" customWidth="1"/>
    <col min="11021" max="11021" width="14.7109375" style="163" customWidth="1"/>
    <col min="11022" max="11022" width="13.28515625" style="163" customWidth="1"/>
    <col min="11023" max="11262" width="9.140625" style="163"/>
    <col min="11263" max="11263" width="5" style="163" customWidth="1"/>
    <col min="11264" max="11264" width="24.42578125" style="163" customWidth="1"/>
    <col min="11265" max="11265" width="31.5703125" style="163" customWidth="1"/>
    <col min="11266" max="11266" width="8.5703125" style="163" customWidth="1"/>
    <col min="11267" max="11267" width="10" style="163" customWidth="1"/>
    <col min="11268" max="11268" width="23.42578125" style="163" customWidth="1"/>
    <col min="11269" max="11269" width="13.42578125" style="163" customWidth="1"/>
    <col min="11270" max="11270" width="23.42578125" style="163" customWidth="1"/>
    <col min="11271" max="11271" width="22.140625" style="163" customWidth="1"/>
    <col min="11272" max="11272" width="26.7109375" style="163" customWidth="1"/>
    <col min="11273" max="11273" width="11.5703125" style="163" bestFit="1" customWidth="1"/>
    <col min="11274" max="11274" width="12.7109375" style="163" bestFit="1" customWidth="1"/>
    <col min="11275" max="11275" width="16.28515625" style="163" customWidth="1"/>
    <col min="11276" max="11276" width="14.28515625" style="163" customWidth="1"/>
    <col min="11277" max="11277" width="14.7109375" style="163" customWidth="1"/>
    <col min="11278" max="11278" width="13.28515625" style="163" customWidth="1"/>
    <col min="11279" max="11518" width="9.140625" style="163"/>
    <col min="11519" max="11519" width="5" style="163" customWidth="1"/>
    <col min="11520" max="11520" width="24.42578125" style="163" customWidth="1"/>
    <col min="11521" max="11521" width="31.5703125" style="163" customWidth="1"/>
    <col min="11522" max="11522" width="8.5703125" style="163" customWidth="1"/>
    <col min="11523" max="11523" width="10" style="163" customWidth="1"/>
    <col min="11524" max="11524" width="23.42578125" style="163" customWidth="1"/>
    <col min="11525" max="11525" width="13.42578125" style="163" customWidth="1"/>
    <col min="11526" max="11526" width="23.42578125" style="163" customWidth="1"/>
    <col min="11527" max="11527" width="22.140625" style="163" customWidth="1"/>
    <col min="11528" max="11528" width="26.7109375" style="163" customWidth="1"/>
    <col min="11529" max="11529" width="11.5703125" style="163" bestFit="1" customWidth="1"/>
    <col min="11530" max="11530" width="12.7109375" style="163" bestFit="1" customWidth="1"/>
    <col min="11531" max="11531" width="16.28515625" style="163" customWidth="1"/>
    <col min="11532" max="11532" width="14.28515625" style="163" customWidth="1"/>
    <col min="11533" max="11533" width="14.7109375" style="163" customWidth="1"/>
    <col min="11534" max="11534" width="13.28515625" style="163" customWidth="1"/>
    <col min="11535" max="11774" width="9.140625" style="163"/>
    <col min="11775" max="11775" width="5" style="163" customWidth="1"/>
    <col min="11776" max="11776" width="24.42578125" style="163" customWidth="1"/>
    <col min="11777" max="11777" width="31.5703125" style="163" customWidth="1"/>
    <col min="11778" max="11778" width="8.5703125" style="163" customWidth="1"/>
    <col min="11779" max="11779" width="10" style="163" customWidth="1"/>
    <col min="11780" max="11780" width="23.42578125" style="163" customWidth="1"/>
    <col min="11781" max="11781" width="13.42578125" style="163" customWidth="1"/>
    <col min="11782" max="11782" width="23.42578125" style="163" customWidth="1"/>
    <col min="11783" max="11783" width="22.140625" style="163" customWidth="1"/>
    <col min="11784" max="11784" width="26.7109375" style="163" customWidth="1"/>
    <col min="11785" max="11785" width="11.5703125" style="163" bestFit="1" customWidth="1"/>
    <col min="11786" max="11786" width="12.7109375" style="163" bestFit="1" customWidth="1"/>
    <col min="11787" max="11787" width="16.28515625" style="163" customWidth="1"/>
    <col min="11788" max="11788" width="14.28515625" style="163" customWidth="1"/>
    <col min="11789" max="11789" width="14.7109375" style="163" customWidth="1"/>
    <col min="11790" max="11790" width="13.28515625" style="163" customWidth="1"/>
    <col min="11791" max="12030" width="9.140625" style="163"/>
    <col min="12031" max="12031" width="5" style="163" customWidth="1"/>
    <col min="12032" max="12032" width="24.42578125" style="163" customWidth="1"/>
    <col min="12033" max="12033" width="31.5703125" style="163" customWidth="1"/>
    <col min="12034" max="12034" width="8.5703125" style="163" customWidth="1"/>
    <col min="12035" max="12035" width="10" style="163" customWidth="1"/>
    <col min="12036" max="12036" width="23.42578125" style="163" customWidth="1"/>
    <col min="12037" max="12037" width="13.42578125" style="163" customWidth="1"/>
    <col min="12038" max="12038" width="23.42578125" style="163" customWidth="1"/>
    <col min="12039" max="12039" width="22.140625" style="163" customWidth="1"/>
    <col min="12040" max="12040" width="26.7109375" style="163" customWidth="1"/>
    <col min="12041" max="12041" width="11.5703125" style="163" bestFit="1" customWidth="1"/>
    <col min="12042" max="12042" width="12.7109375" style="163" bestFit="1" customWidth="1"/>
    <col min="12043" max="12043" width="16.28515625" style="163" customWidth="1"/>
    <col min="12044" max="12044" width="14.28515625" style="163" customWidth="1"/>
    <col min="12045" max="12045" width="14.7109375" style="163" customWidth="1"/>
    <col min="12046" max="12046" width="13.28515625" style="163" customWidth="1"/>
    <col min="12047" max="12286" width="9.140625" style="163"/>
    <col min="12287" max="12287" width="5" style="163" customWidth="1"/>
    <col min="12288" max="12288" width="24.42578125" style="163" customWidth="1"/>
    <col min="12289" max="12289" width="31.5703125" style="163" customWidth="1"/>
    <col min="12290" max="12290" width="8.5703125" style="163" customWidth="1"/>
    <col min="12291" max="12291" width="10" style="163" customWidth="1"/>
    <col min="12292" max="12292" width="23.42578125" style="163" customWidth="1"/>
    <col min="12293" max="12293" width="13.42578125" style="163" customWidth="1"/>
    <col min="12294" max="12294" width="23.42578125" style="163" customWidth="1"/>
    <col min="12295" max="12295" width="22.140625" style="163" customWidth="1"/>
    <col min="12296" max="12296" width="26.7109375" style="163" customWidth="1"/>
    <col min="12297" max="12297" width="11.5703125" style="163" bestFit="1" customWidth="1"/>
    <col min="12298" max="12298" width="12.7109375" style="163" bestFit="1" customWidth="1"/>
    <col min="12299" max="12299" width="16.28515625" style="163" customWidth="1"/>
    <col min="12300" max="12300" width="14.28515625" style="163" customWidth="1"/>
    <col min="12301" max="12301" width="14.7109375" style="163" customWidth="1"/>
    <col min="12302" max="12302" width="13.28515625" style="163" customWidth="1"/>
    <col min="12303" max="12542" width="9.140625" style="163"/>
    <col min="12543" max="12543" width="5" style="163" customWidth="1"/>
    <col min="12544" max="12544" width="24.42578125" style="163" customWidth="1"/>
    <col min="12545" max="12545" width="31.5703125" style="163" customWidth="1"/>
    <col min="12546" max="12546" width="8.5703125" style="163" customWidth="1"/>
    <col min="12547" max="12547" width="10" style="163" customWidth="1"/>
    <col min="12548" max="12548" width="23.42578125" style="163" customWidth="1"/>
    <col min="12549" max="12549" width="13.42578125" style="163" customWidth="1"/>
    <col min="12550" max="12550" width="23.42578125" style="163" customWidth="1"/>
    <col min="12551" max="12551" width="22.140625" style="163" customWidth="1"/>
    <col min="12552" max="12552" width="26.7109375" style="163" customWidth="1"/>
    <col min="12553" max="12553" width="11.5703125" style="163" bestFit="1" customWidth="1"/>
    <col min="12554" max="12554" width="12.7109375" style="163" bestFit="1" customWidth="1"/>
    <col min="12555" max="12555" width="16.28515625" style="163" customWidth="1"/>
    <col min="12556" max="12556" width="14.28515625" style="163" customWidth="1"/>
    <col min="12557" max="12557" width="14.7109375" style="163" customWidth="1"/>
    <col min="12558" max="12558" width="13.28515625" style="163" customWidth="1"/>
    <col min="12559" max="12798" width="9.140625" style="163"/>
    <col min="12799" max="12799" width="5" style="163" customWidth="1"/>
    <col min="12800" max="12800" width="24.42578125" style="163" customWidth="1"/>
    <col min="12801" max="12801" width="31.5703125" style="163" customWidth="1"/>
    <col min="12802" max="12802" width="8.5703125" style="163" customWidth="1"/>
    <col min="12803" max="12803" width="10" style="163" customWidth="1"/>
    <col min="12804" max="12804" width="23.42578125" style="163" customWidth="1"/>
    <col min="12805" max="12805" width="13.42578125" style="163" customWidth="1"/>
    <col min="12806" max="12806" width="23.42578125" style="163" customWidth="1"/>
    <col min="12807" max="12807" width="22.140625" style="163" customWidth="1"/>
    <col min="12808" max="12808" width="26.7109375" style="163" customWidth="1"/>
    <col min="12809" max="12809" width="11.5703125" style="163" bestFit="1" customWidth="1"/>
    <col min="12810" max="12810" width="12.7109375" style="163" bestFit="1" customWidth="1"/>
    <col min="12811" max="12811" width="16.28515625" style="163" customWidth="1"/>
    <col min="12812" max="12812" width="14.28515625" style="163" customWidth="1"/>
    <col min="12813" max="12813" width="14.7109375" style="163" customWidth="1"/>
    <col min="12814" max="12814" width="13.28515625" style="163" customWidth="1"/>
    <col min="12815" max="13054" width="9.140625" style="163"/>
    <col min="13055" max="13055" width="5" style="163" customWidth="1"/>
    <col min="13056" max="13056" width="24.42578125" style="163" customWidth="1"/>
    <col min="13057" max="13057" width="31.5703125" style="163" customWidth="1"/>
    <col min="13058" max="13058" width="8.5703125" style="163" customWidth="1"/>
    <col min="13059" max="13059" width="10" style="163" customWidth="1"/>
    <col min="13060" max="13060" width="23.42578125" style="163" customWidth="1"/>
    <col min="13061" max="13061" width="13.42578125" style="163" customWidth="1"/>
    <col min="13062" max="13062" width="23.42578125" style="163" customWidth="1"/>
    <col min="13063" max="13063" width="22.140625" style="163" customWidth="1"/>
    <col min="13064" max="13064" width="26.7109375" style="163" customWidth="1"/>
    <col min="13065" max="13065" width="11.5703125" style="163" bestFit="1" customWidth="1"/>
    <col min="13066" max="13066" width="12.7109375" style="163" bestFit="1" customWidth="1"/>
    <col min="13067" max="13067" width="16.28515625" style="163" customWidth="1"/>
    <col min="13068" max="13068" width="14.28515625" style="163" customWidth="1"/>
    <col min="13069" max="13069" width="14.7109375" style="163" customWidth="1"/>
    <col min="13070" max="13070" width="13.28515625" style="163" customWidth="1"/>
    <col min="13071" max="13310" width="9.140625" style="163"/>
    <col min="13311" max="13311" width="5" style="163" customWidth="1"/>
    <col min="13312" max="13312" width="24.42578125" style="163" customWidth="1"/>
    <col min="13313" max="13313" width="31.5703125" style="163" customWidth="1"/>
    <col min="13314" max="13314" width="8.5703125" style="163" customWidth="1"/>
    <col min="13315" max="13315" width="10" style="163" customWidth="1"/>
    <col min="13316" max="13316" width="23.42578125" style="163" customWidth="1"/>
    <col min="13317" max="13317" width="13.42578125" style="163" customWidth="1"/>
    <col min="13318" max="13318" width="23.42578125" style="163" customWidth="1"/>
    <col min="13319" max="13319" width="22.140625" style="163" customWidth="1"/>
    <col min="13320" max="13320" width="26.7109375" style="163" customWidth="1"/>
    <col min="13321" max="13321" width="11.5703125" style="163" bestFit="1" customWidth="1"/>
    <col min="13322" max="13322" width="12.7109375" style="163" bestFit="1" customWidth="1"/>
    <col min="13323" max="13323" width="16.28515625" style="163" customWidth="1"/>
    <col min="13324" max="13324" width="14.28515625" style="163" customWidth="1"/>
    <col min="13325" max="13325" width="14.7109375" style="163" customWidth="1"/>
    <col min="13326" max="13326" width="13.28515625" style="163" customWidth="1"/>
    <col min="13327" max="13566" width="9.140625" style="163"/>
    <col min="13567" max="13567" width="5" style="163" customWidth="1"/>
    <col min="13568" max="13568" width="24.42578125" style="163" customWidth="1"/>
    <col min="13569" max="13569" width="31.5703125" style="163" customWidth="1"/>
    <col min="13570" max="13570" width="8.5703125" style="163" customWidth="1"/>
    <col min="13571" max="13571" width="10" style="163" customWidth="1"/>
    <col min="13572" max="13572" width="23.42578125" style="163" customWidth="1"/>
    <col min="13573" max="13573" width="13.42578125" style="163" customWidth="1"/>
    <col min="13574" max="13574" width="23.42578125" style="163" customWidth="1"/>
    <col min="13575" max="13575" width="22.140625" style="163" customWidth="1"/>
    <col min="13576" max="13576" width="26.7109375" style="163" customWidth="1"/>
    <col min="13577" max="13577" width="11.5703125" style="163" bestFit="1" customWidth="1"/>
    <col min="13578" max="13578" width="12.7109375" style="163" bestFit="1" customWidth="1"/>
    <col min="13579" max="13579" width="16.28515625" style="163" customWidth="1"/>
    <col min="13580" max="13580" width="14.28515625" style="163" customWidth="1"/>
    <col min="13581" max="13581" width="14.7109375" style="163" customWidth="1"/>
    <col min="13582" max="13582" width="13.28515625" style="163" customWidth="1"/>
    <col min="13583" max="13822" width="9.140625" style="163"/>
    <col min="13823" max="13823" width="5" style="163" customWidth="1"/>
    <col min="13824" max="13824" width="24.42578125" style="163" customWidth="1"/>
    <col min="13825" max="13825" width="31.5703125" style="163" customWidth="1"/>
    <col min="13826" max="13826" width="8.5703125" style="163" customWidth="1"/>
    <col min="13827" max="13827" width="10" style="163" customWidth="1"/>
    <col min="13828" max="13828" width="23.42578125" style="163" customWidth="1"/>
    <col min="13829" max="13829" width="13.42578125" style="163" customWidth="1"/>
    <col min="13830" max="13830" width="23.42578125" style="163" customWidth="1"/>
    <col min="13831" max="13831" width="22.140625" style="163" customWidth="1"/>
    <col min="13832" max="13832" width="26.7109375" style="163" customWidth="1"/>
    <col min="13833" max="13833" width="11.5703125" style="163" bestFit="1" customWidth="1"/>
    <col min="13834" max="13834" width="12.7109375" style="163" bestFit="1" customWidth="1"/>
    <col min="13835" max="13835" width="16.28515625" style="163" customWidth="1"/>
    <col min="13836" max="13836" width="14.28515625" style="163" customWidth="1"/>
    <col min="13837" max="13837" width="14.7109375" style="163" customWidth="1"/>
    <col min="13838" max="13838" width="13.28515625" style="163" customWidth="1"/>
    <col min="13839" max="14078" width="9.140625" style="163"/>
    <col min="14079" max="14079" width="5" style="163" customWidth="1"/>
    <col min="14080" max="14080" width="24.42578125" style="163" customWidth="1"/>
    <col min="14081" max="14081" width="31.5703125" style="163" customWidth="1"/>
    <col min="14082" max="14082" width="8.5703125" style="163" customWidth="1"/>
    <col min="14083" max="14083" width="10" style="163" customWidth="1"/>
    <col min="14084" max="14084" width="23.42578125" style="163" customWidth="1"/>
    <col min="14085" max="14085" width="13.42578125" style="163" customWidth="1"/>
    <col min="14086" max="14086" width="23.42578125" style="163" customWidth="1"/>
    <col min="14087" max="14087" width="22.140625" style="163" customWidth="1"/>
    <col min="14088" max="14088" width="26.7109375" style="163" customWidth="1"/>
    <col min="14089" max="14089" width="11.5703125" style="163" bestFit="1" customWidth="1"/>
    <col min="14090" max="14090" width="12.7109375" style="163" bestFit="1" customWidth="1"/>
    <col min="14091" max="14091" width="16.28515625" style="163" customWidth="1"/>
    <col min="14092" max="14092" width="14.28515625" style="163" customWidth="1"/>
    <col min="14093" max="14093" width="14.7109375" style="163" customWidth="1"/>
    <col min="14094" max="14094" width="13.28515625" style="163" customWidth="1"/>
    <col min="14095" max="14334" width="9.140625" style="163"/>
    <col min="14335" max="14335" width="5" style="163" customWidth="1"/>
    <col min="14336" max="14336" width="24.42578125" style="163" customWidth="1"/>
    <col min="14337" max="14337" width="31.5703125" style="163" customWidth="1"/>
    <col min="14338" max="14338" width="8.5703125" style="163" customWidth="1"/>
    <col min="14339" max="14339" width="10" style="163" customWidth="1"/>
    <col min="14340" max="14340" width="23.42578125" style="163" customWidth="1"/>
    <col min="14341" max="14341" width="13.42578125" style="163" customWidth="1"/>
    <col min="14342" max="14342" width="23.42578125" style="163" customWidth="1"/>
    <col min="14343" max="14343" width="22.140625" style="163" customWidth="1"/>
    <col min="14344" max="14344" width="26.7109375" style="163" customWidth="1"/>
    <col min="14345" max="14345" width="11.5703125" style="163" bestFit="1" customWidth="1"/>
    <col min="14346" max="14346" width="12.7109375" style="163" bestFit="1" customWidth="1"/>
    <col min="14347" max="14347" width="16.28515625" style="163" customWidth="1"/>
    <col min="14348" max="14348" width="14.28515625" style="163" customWidth="1"/>
    <col min="14349" max="14349" width="14.7109375" style="163" customWidth="1"/>
    <col min="14350" max="14350" width="13.28515625" style="163" customWidth="1"/>
    <col min="14351" max="14590" width="9.140625" style="163"/>
    <col min="14591" max="14591" width="5" style="163" customWidth="1"/>
    <col min="14592" max="14592" width="24.42578125" style="163" customWidth="1"/>
    <col min="14593" max="14593" width="31.5703125" style="163" customWidth="1"/>
    <col min="14594" max="14594" width="8.5703125" style="163" customWidth="1"/>
    <col min="14595" max="14595" width="10" style="163" customWidth="1"/>
    <col min="14596" max="14596" width="23.42578125" style="163" customWidth="1"/>
    <col min="14597" max="14597" width="13.42578125" style="163" customWidth="1"/>
    <col min="14598" max="14598" width="23.42578125" style="163" customWidth="1"/>
    <col min="14599" max="14599" width="22.140625" style="163" customWidth="1"/>
    <col min="14600" max="14600" width="26.7109375" style="163" customWidth="1"/>
    <col min="14601" max="14601" width="11.5703125" style="163" bestFit="1" customWidth="1"/>
    <col min="14602" max="14602" width="12.7109375" style="163" bestFit="1" customWidth="1"/>
    <col min="14603" max="14603" width="16.28515625" style="163" customWidth="1"/>
    <col min="14604" max="14604" width="14.28515625" style="163" customWidth="1"/>
    <col min="14605" max="14605" width="14.7109375" style="163" customWidth="1"/>
    <col min="14606" max="14606" width="13.28515625" style="163" customWidth="1"/>
    <col min="14607" max="14846" width="9.140625" style="163"/>
    <col min="14847" max="14847" width="5" style="163" customWidth="1"/>
    <col min="14848" max="14848" width="24.42578125" style="163" customWidth="1"/>
    <col min="14849" max="14849" width="31.5703125" style="163" customWidth="1"/>
    <col min="14850" max="14850" width="8.5703125" style="163" customWidth="1"/>
    <col min="14851" max="14851" width="10" style="163" customWidth="1"/>
    <col min="14852" max="14852" width="23.42578125" style="163" customWidth="1"/>
    <col min="14853" max="14853" width="13.42578125" style="163" customWidth="1"/>
    <col min="14854" max="14854" width="23.42578125" style="163" customWidth="1"/>
    <col min="14855" max="14855" width="22.140625" style="163" customWidth="1"/>
    <col min="14856" max="14856" width="26.7109375" style="163" customWidth="1"/>
    <col min="14857" max="14857" width="11.5703125" style="163" bestFit="1" customWidth="1"/>
    <col min="14858" max="14858" width="12.7109375" style="163" bestFit="1" customWidth="1"/>
    <col min="14859" max="14859" width="16.28515625" style="163" customWidth="1"/>
    <col min="14860" max="14860" width="14.28515625" style="163" customWidth="1"/>
    <col min="14861" max="14861" width="14.7109375" style="163" customWidth="1"/>
    <col min="14862" max="14862" width="13.28515625" style="163" customWidth="1"/>
    <col min="14863" max="15102" width="9.140625" style="163"/>
    <col min="15103" max="15103" width="5" style="163" customWidth="1"/>
    <col min="15104" max="15104" width="24.42578125" style="163" customWidth="1"/>
    <col min="15105" max="15105" width="31.5703125" style="163" customWidth="1"/>
    <col min="15106" max="15106" width="8.5703125" style="163" customWidth="1"/>
    <col min="15107" max="15107" width="10" style="163" customWidth="1"/>
    <col min="15108" max="15108" width="23.42578125" style="163" customWidth="1"/>
    <col min="15109" max="15109" width="13.42578125" style="163" customWidth="1"/>
    <col min="15110" max="15110" width="23.42578125" style="163" customWidth="1"/>
    <col min="15111" max="15111" width="22.140625" style="163" customWidth="1"/>
    <col min="15112" max="15112" width="26.7109375" style="163" customWidth="1"/>
    <col min="15113" max="15113" width="11.5703125" style="163" bestFit="1" customWidth="1"/>
    <col min="15114" max="15114" width="12.7109375" style="163" bestFit="1" customWidth="1"/>
    <col min="15115" max="15115" width="16.28515625" style="163" customWidth="1"/>
    <col min="15116" max="15116" width="14.28515625" style="163" customWidth="1"/>
    <col min="15117" max="15117" width="14.7109375" style="163" customWidth="1"/>
    <col min="15118" max="15118" width="13.28515625" style="163" customWidth="1"/>
    <col min="15119" max="15358" width="9.140625" style="163"/>
    <col min="15359" max="15359" width="5" style="163" customWidth="1"/>
    <col min="15360" max="15360" width="24.42578125" style="163" customWidth="1"/>
    <col min="15361" max="15361" width="31.5703125" style="163" customWidth="1"/>
    <col min="15362" max="15362" width="8.5703125" style="163" customWidth="1"/>
    <col min="15363" max="15363" width="10" style="163" customWidth="1"/>
    <col min="15364" max="15364" width="23.42578125" style="163" customWidth="1"/>
    <col min="15365" max="15365" width="13.42578125" style="163" customWidth="1"/>
    <col min="15366" max="15366" width="23.42578125" style="163" customWidth="1"/>
    <col min="15367" max="15367" width="22.140625" style="163" customWidth="1"/>
    <col min="15368" max="15368" width="26.7109375" style="163" customWidth="1"/>
    <col min="15369" max="15369" width="11.5703125" style="163" bestFit="1" customWidth="1"/>
    <col min="15370" max="15370" width="12.7109375" style="163" bestFit="1" customWidth="1"/>
    <col min="15371" max="15371" width="16.28515625" style="163" customWidth="1"/>
    <col min="15372" max="15372" width="14.28515625" style="163" customWidth="1"/>
    <col min="15373" max="15373" width="14.7109375" style="163" customWidth="1"/>
    <col min="15374" max="15374" width="13.28515625" style="163" customWidth="1"/>
    <col min="15375" max="15614" width="9.140625" style="163"/>
    <col min="15615" max="15615" width="5" style="163" customWidth="1"/>
    <col min="15616" max="15616" width="24.42578125" style="163" customWidth="1"/>
    <col min="15617" max="15617" width="31.5703125" style="163" customWidth="1"/>
    <col min="15618" max="15618" width="8.5703125" style="163" customWidth="1"/>
    <col min="15619" max="15619" width="10" style="163" customWidth="1"/>
    <col min="15620" max="15620" width="23.42578125" style="163" customWidth="1"/>
    <col min="15621" max="15621" width="13.42578125" style="163" customWidth="1"/>
    <col min="15622" max="15622" width="23.42578125" style="163" customWidth="1"/>
    <col min="15623" max="15623" width="22.140625" style="163" customWidth="1"/>
    <col min="15624" max="15624" width="26.7109375" style="163" customWidth="1"/>
    <col min="15625" max="15625" width="11.5703125" style="163" bestFit="1" customWidth="1"/>
    <col min="15626" max="15626" width="12.7109375" style="163" bestFit="1" customWidth="1"/>
    <col min="15627" max="15627" width="16.28515625" style="163" customWidth="1"/>
    <col min="15628" max="15628" width="14.28515625" style="163" customWidth="1"/>
    <col min="15629" max="15629" width="14.7109375" style="163" customWidth="1"/>
    <col min="15630" max="15630" width="13.28515625" style="163" customWidth="1"/>
    <col min="15631" max="15870" width="9.140625" style="163"/>
    <col min="15871" max="15871" width="5" style="163" customWidth="1"/>
    <col min="15872" max="15872" width="24.42578125" style="163" customWidth="1"/>
    <col min="15873" max="15873" width="31.5703125" style="163" customWidth="1"/>
    <col min="15874" max="15874" width="8.5703125" style="163" customWidth="1"/>
    <col min="15875" max="15875" width="10" style="163" customWidth="1"/>
    <col min="15876" max="15876" width="23.42578125" style="163" customWidth="1"/>
    <col min="15877" max="15877" width="13.42578125" style="163" customWidth="1"/>
    <col min="15878" max="15878" width="23.42578125" style="163" customWidth="1"/>
    <col min="15879" max="15879" width="22.140625" style="163" customWidth="1"/>
    <col min="15880" max="15880" width="26.7109375" style="163" customWidth="1"/>
    <col min="15881" max="15881" width="11.5703125" style="163" bestFit="1" customWidth="1"/>
    <col min="15882" max="15882" width="12.7109375" style="163" bestFit="1" customWidth="1"/>
    <col min="15883" max="15883" width="16.28515625" style="163" customWidth="1"/>
    <col min="15884" max="15884" width="14.28515625" style="163" customWidth="1"/>
    <col min="15885" max="15885" width="14.7109375" style="163" customWidth="1"/>
    <col min="15886" max="15886" width="13.28515625" style="163" customWidth="1"/>
    <col min="15887" max="16126" width="9.140625" style="163"/>
    <col min="16127" max="16127" width="5" style="163" customWidth="1"/>
    <col min="16128" max="16128" width="24.42578125" style="163" customWidth="1"/>
    <col min="16129" max="16129" width="31.5703125" style="163" customWidth="1"/>
    <col min="16130" max="16130" width="8.5703125" style="163" customWidth="1"/>
    <col min="16131" max="16131" width="10" style="163" customWidth="1"/>
    <col min="16132" max="16132" width="23.42578125" style="163" customWidth="1"/>
    <col min="16133" max="16133" width="13.42578125" style="163" customWidth="1"/>
    <col min="16134" max="16134" width="23.42578125" style="163" customWidth="1"/>
    <col min="16135" max="16135" width="22.140625" style="163" customWidth="1"/>
    <col min="16136" max="16136" width="26.7109375" style="163" customWidth="1"/>
    <col min="16137" max="16137" width="11.5703125" style="163" bestFit="1" customWidth="1"/>
    <col min="16138" max="16138" width="12.7109375" style="163" bestFit="1" customWidth="1"/>
    <col min="16139" max="16139" width="16.28515625" style="163" customWidth="1"/>
    <col min="16140" max="16140" width="14.28515625" style="163" customWidth="1"/>
    <col min="16141" max="16141" width="14.7109375" style="163" customWidth="1"/>
    <col min="16142" max="16142" width="13.28515625" style="163" customWidth="1"/>
    <col min="16143" max="16384" width="9.140625" style="163"/>
  </cols>
  <sheetData>
    <row r="1" spans="1:12" s="7" customFormat="1" ht="15" x14ac:dyDescent="0.25">
      <c r="B1" s="162"/>
      <c r="C1" s="162"/>
      <c r="D1" s="162"/>
      <c r="E1" s="162"/>
      <c r="F1" s="12" t="s">
        <v>30</v>
      </c>
      <c r="G1" s="50"/>
      <c r="H1" s="24"/>
    </row>
    <row r="2" spans="1:12" s="7" customFormat="1" ht="15" x14ac:dyDescent="0.25">
      <c r="B2" s="162"/>
      <c r="C2" s="162"/>
      <c r="D2" s="162"/>
      <c r="E2" s="162"/>
      <c r="F2" s="12" t="s">
        <v>31</v>
      </c>
      <c r="G2" s="50"/>
      <c r="H2" s="24"/>
    </row>
    <row r="3" spans="1:12" s="7" customFormat="1" ht="15" x14ac:dyDescent="0.25">
      <c r="B3" s="162"/>
      <c r="C3" s="162"/>
      <c r="D3" s="162"/>
      <c r="E3" s="162"/>
      <c r="F3" s="162"/>
      <c r="G3" s="50"/>
      <c r="H3" s="24"/>
      <c r="K3" s="12"/>
    </row>
    <row r="4" spans="1:12" s="7" customFormat="1" ht="15" x14ac:dyDescent="0.25">
      <c r="B4" s="162"/>
      <c r="C4" s="162"/>
      <c r="D4" s="162"/>
      <c r="E4" s="162"/>
      <c r="F4" s="217" t="s">
        <v>84</v>
      </c>
      <c r="G4" s="50"/>
      <c r="H4" s="24"/>
    </row>
    <row r="5" spans="1:12" s="7" customFormat="1" ht="15" x14ac:dyDescent="0.25">
      <c r="B5" s="162"/>
      <c r="C5" s="162"/>
      <c r="D5" s="162"/>
      <c r="E5" s="162"/>
      <c r="F5" s="162"/>
      <c r="G5" s="50"/>
      <c r="H5" s="24"/>
    </row>
    <row r="6" spans="1:12" s="7" customFormat="1" ht="15" x14ac:dyDescent="0.25">
      <c r="A6" s="220" t="s">
        <v>21</v>
      </c>
      <c r="B6" s="220"/>
      <c r="C6" s="220"/>
      <c r="D6" s="220"/>
      <c r="E6" s="220"/>
      <c r="F6" s="220"/>
      <c r="G6" s="13"/>
      <c r="H6" s="13"/>
      <c r="I6" s="13"/>
      <c r="J6" s="13"/>
      <c r="K6" s="13"/>
      <c r="L6" s="15"/>
    </row>
    <row r="7" spans="1:12" s="7" customFormat="1" ht="15" x14ac:dyDescent="0.25">
      <c r="A7" s="220" t="s">
        <v>22</v>
      </c>
      <c r="B7" s="220"/>
      <c r="C7" s="220"/>
      <c r="D7" s="220"/>
      <c r="E7" s="220"/>
      <c r="F7" s="220"/>
      <c r="G7" s="13"/>
      <c r="H7" s="13"/>
      <c r="I7" s="13"/>
      <c r="J7" s="13"/>
      <c r="K7" s="13"/>
    </row>
    <row r="8" spans="1:12" s="7" customFormat="1" ht="15" x14ac:dyDescent="0.25">
      <c r="A8" s="161"/>
      <c r="B8" s="161"/>
      <c r="C8" s="161"/>
      <c r="D8" s="161"/>
      <c r="E8" s="161"/>
      <c r="F8" s="161"/>
      <c r="G8" s="13"/>
      <c r="H8" s="13"/>
      <c r="I8" s="13"/>
      <c r="J8" s="13"/>
      <c r="K8" s="13"/>
    </row>
    <row r="9" spans="1:12" ht="19.5" customHeight="1" x14ac:dyDescent="0.25">
      <c r="A9" s="168" t="s">
        <v>304</v>
      </c>
      <c r="B9" s="168"/>
      <c r="C9" s="168"/>
      <c r="D9" s="168"/>
      <c r="E9" s="169"/>
      <c r="F9" s="167"/>
      <c r="G9" s="167"/>
    </row>
    <row r="10" spans="1:12" s="184" customFormat="1" ht="18" customHeight="1" x14ac:dyDescent="0.25">
      <c r="A10" s="221" t="s">
        <v>260</v>
      </c>
      <c r="B10" s="221"/>
      <c r="C10" s="221"/>
      <c r="D10" s="221"/>
      <c r="E10" s="221"/>
      <c r="F10" s="221"/>
      <c r="G10" s="218"/>
      <c r="H10" s="183"/>
    </row>
    <row r="11" spans="1:12" s="184" customFormat="1" x14ac:dyDescent="0.25">
      <c r="A11" s="221" t="s">
        <v>242</v>
      </c>
      <c r="B11" s="221"/>
      <c r="C11" s="221"/>
      <c r="D11" s="221"/>
      <c r="E11" s="221"/>
      <c r="F11" s="221"/>
      <c r="G11" s="219"/>
      <c r="H11" s="183"/>
    </row>
    <row r="12" spans="1:12" s="184" customFormat="1" x14ac:dyDescent="0.25">
      <c r="A12" s="221" t="s">
        <v>240</v>
      </c>
      <c r="B12" s="221"/>
      <c r="C12" s="221"/>
      <c r="D12" s="221"/>
      <c r="E12" s="221"/>
      <c r="F12" s="221"/>
      <c r="G12" s="182"/>
      <c r="H12" s="183"/>
      <c r="J12" s="183"/>
    </row>
    <row r="13" spans="1:12" s="184" customFormat="1" x14ac:dyDescent="0.25">
      <c r="A13" s="222"/>
      <c r="B13" s="222"/>
      <c r="C13" s="222"/>
      <c r="D13" s="222"/>
      <c r="E13" s="222"/>
      <c r="F13" s="222"/>
      <c r="G13" s="182"/>
      <c r="H13" s="183"/>
      <c r="J13" s="183"/>
    </row>
    <row r="14" spans="1:12" s="184" customFormat="1" ht="31.5" x14ac:dyDescent="0.25">
      <c r="A14" s="170" t="s">
        <v>0</v>
      </c>
      <c r="B14" s="171" t="s">
        <v>38</v>
      </c>
      <c r="C14" s="172" t="s">
        <v>275</v>
      </c>
      <c r="D14" s="173" t="s">
        <v>1</v>
      </c>
      <c r="E14" s="174" t="s">
        <v>276</v>
      </c>
      <c r="F14" s="175" t="s">
        <v>277</v>
      </c>
      <c r="G14" s="182"/>
      <c r="H14" s="183"/>
      <c r="I14" s="185"/>
      <c r="J14" s="183"/>
    </row>
    <row r="15" spans="1:12" s="184" customFormat="1" ht="31.5" x14ac:dyDescent="0.25">
      <c r="A15" s="176">
        <v>1</v>
      </c>
      <c r="B15" s="177" t="s">
        <v>278</v>
      </c>
      <c r="C15" s="178" t="s">
        <v>279</v>
      </c>
      <c r="D15" s="179" t="s">
        <v>68</v>
      </c>
      <c r="E15" s="180">
        <v>1</v>
      </c>
      <c r="F15" s="181">
        <v>851101</v>
      </c>
      <c r="G15" s="182"/>
      <c r="H15" s="183"/>
      <c r="I15" s="185"/>
      <c r="J15" s="183"/>
    </row>
    <row r="16" spans="1:12" s="184" customFormat="1" ht="31.5" x14ac:dyDescent="0.25">
      <c r="A16" s="176">
        <v>2</v>
      </c>
      <c r="B16" s="177" t="s">
        <v>280</v>
      </c>
      <c r="C16" s="178" t="s">
        <v>281</v>
      </c>
      <c r="D16" s="179" t="s">
        <v>68</v>
      </c>
      <c r="E16" s="180">
        <v>1</v>
      </c>
      <c r="F16" s="181">
        <v>665872</v>
      </c>
      <c r="G16" s="182"/>
      <c r="H16" s="183"/>
      <c r="I16" s="185"/>
      <c r="J16" s="183"/>
    </row>
    <row r="17" spans="1:15" s="184" customFormat="1" ht="31.5" x14ac:dyDescent="0.25">
      <c r="A17" s="176">
        <v>3</v>
      </c>
      <c r="B17" s="177" t="s">
        <v>282</v>
      </c>
      <c r="C17" s="178" t="s">
        <v>283</v>
      </c>
      <c r="D17" s="179" t="s">
        <v>68</v>
      </c>
      <c r="E17" s="180">
        <v>1</v>
      </c>
      <c r="F17" s="181">
        <v>416605</v>
      </c>
      <c r="G17" s="182"/>
      <c r="H17" s="183"/>
      <c r="J17" s="183"/>
    </row>
    <row r="18" spans="1:15" s="184" customFormat="1" ht="31.5" x14ac:dyDescent="0.25">
      <c r="A18" s="176">
        <v>4</v>
      </c>
      <c r="B18" s="177" t="s">
        <v>284</v>
      </c>
      <c r="C18" s="178" t="s">
        <v>285</v>
      </c>
      <c r="D18" s="179" t="s">
        <v>68</v>
      </c>
      <c r="E18" s="180">
        <v>1</v>
      </c>
      <c r="F18" s="186">
        <v>444153</v>
      </c>
      <c r="G18" s="187"/>
      <c r="H18" s="183"/>
      <c r="I18" s="185"/>
      <c r="J18" s="183"/>
    </row>
    <row r="19" spans="1:15" s="184" customFormat="1" ht="31.5" x14ac:dyDescent="0.25">
      <c r="A19" s="176">
        <v>5</v>
      </c>
      <c r="B19" s="177" t="s">
        <v>286</v>
      </c>
      <c r="C19" s="178" t="s">
        <v>287</v>
      </c>
      <c r="D19" s="179" t="s">
        <v>68</v>
      </c>
      <c r="E19" s="180">
        <v>1</v>
      </c>
      <c r="F19" s="186">
        <v>466514</v>
      </c>
      <c r="G19" s="182"/>
      <c r="H19" s="183"/>
      <c r="I19" s="185"/>
      <c r="J19" s="183"/>
    </row>
    <row r="20" spans="1:15" s="184" customFormat="1" ht="31.5" x14ac:dyDescent="0.25">
      <c r="A20" s="176">
        <v>6</v>
      </c>
      <c r="B20" s="177" t="s">
        <v>288</v>
      </c>
      <c r="C20" s="178" t="s">
        <v>289</v>
      </c>
      <c r="D20" s="179" t="s">
        <v>68</v>
      </c>
      <c r="E20" s="180">
        <v>1</v>
      </c>
      <c r="F20" s="186">
        <v>589243</v>
      </c>
      <c r="G20" s="182"/>
      <c r="H20" s="183"/>
      <c r="J20" s="183"/>
    </row>
    <row r="21" spans="1:15" s="184" customFormat="1" ht="31.5" x14ac:dyDescent="0.25">
      <c r="A21" s="176">
        <v>7</v>
      </c>
      <c r="B21" s="177" t="s">
        <v>290</v>
      </c>
      <c r="C21" s="178" t="s">
        <v>291</v>
      </c>
      <c r="D21" s="179" t="s">
        <v>68</v>
      </c>
      <c r="E21" s="180">
        <v>1</v>
      </c>
      <c r="F21" s="186">
        <v>664979</v>
      </c>
      <c r="G21" s="182"/>
      <c r="H21" s="183"/>
      <c r="J21" s="183"/>
    </row>
    <row r="22" spans="1:15" ht="31.5" x14ac:dyDescent="0.25">
      <c r="A22" s="176">
        <v>8</v>
      </c>
      <c r="B22" s="177" t="s">
        <v>292</v>
      </c>
      <c r="C22" s="178" t="s">
        <v>293</v>
      </c>
      <c r="D22" s="179" t="s">
        <v>68</v>
      </c>
      <c r="E22" s="180">
        <v>1</v>
      </c>
      <c r="F22" s="188">
        <v>1002402</v>
      </c>
      <c r="G22" s="196"/>
      <c r="I22" s="166"/>
      <c r="J22" s="166"/>
    </row>
    <row r="23" spans="1:15" ht="31.5" x14ac:dyDescent="0.25">
      <c r="A23" s="176">
        <v>9</v>
      </c>
      <c r="B23" s="177" t="s">
        <v>294</v>
      </c>
      <c r="C23" s="178" t="s">
        <v>295</v>
      </c>
      <c r="D23" s="179" t="s">
        <v>68</v>
      </c>
      <c r="E23" s="180">
        <v>1</v>
      </c>
      <c r="F23" s="189">
        <v>1280027</v>
      </c>
      <c r="G23" s="201"/>
    </row>
    <row r="24" spans="1:15" s="203" customFormat="1" x14ac:dyDescent="0.25">
      <c r="A24" s="176">
        <v>10</v>
      </c>
      <c r="B24" s="177" t="s">
        <v>296</v>
      </c>
      <c r="C24" s="190" t="s">
        <v>297</v>
      </c>
      <c r="D24" s="179" t="s">
        <v>68</v>
      </c>
      <c r="E24" s="180">
        <v>1</v>
      </c>
      <c r="F24" s="189">
        <v>98630.672249199997</v>
      </c>
      <c r="G24" s="201"/>
      <c r="H24" s="202"/>
      <c r="N24" s="202"/>
    </row>
    <row r="25" spans="1:15" x14ac:dyDescent="0.25">
      <c r="A25" s="191"/>
      <c r="B25" s="192" t="s">
        <v>69</v>
      </c>
      <c r="C25" s="193"/>
      <c r="D25" s="193"/>
      <c r="E25" s="194"/>
      <c r="F25" s="195">
        <v>6479526.6699999999</v>
      </c>
      <c r="G25" s="206"/>
    </row>
    <row r="26" spans="1:15" x14ac:dyDescent="0.25">
      <c r="A26" s="197"/>
      <c r="B26" s="198" t="s">
        <v>298</v>
      </c>
      <c r="C26" s="199"/>
      <c r="D26" s="199"/>
      <c r="E26" s="197"/>
      <c r="F26" s="200">
        <v>1295905.33</v>
      </c>
    </row>
    <row r="27" spans="1:15" s="209" customFormat="1" ht="12.75" customHeight="1" x14ac:dyDescent="0.2">
      <c r="A27" s="197"/>
      <c r="B27" s="198" t="s">
        <v>299</v>
      </c>
      <c r="C27" s="199"/>
      <c r="D27" s="199"/>
      <c r="E27" s="197"/>
      <c r="F27" s="200">
        <f>F25+F26</f>
        <v>7775432</v>
      </c>
      <c r="G27" s="207"/>
      <c r="H27" s="207"/>
      <c r="I27" s="207"/>
      <c r="J27" s="207"/>
      <c r="K27" s="207"/>
      <c r="L27" s="208"/>
      <c r="M27" s="208"/>
      <c r="N27" s="208"/>
      <c r="O27" s="208"/>
    </row>
    <row r="28" spans="1:15" s="209" customFormat="1" ht="12.75" customHeight="1" x14ac:dyDescent="0.2">
      <c r="A28" s="184"/>
      <c r="B28" s="204"/>
      <c r="C28" s="205"/>
      <c r="D28" s="205"/>
      <c r="E28" s="184"/>
      <c r="F28" s="206"/>
      <c r="G28" s="207"/>
      <c r="H28" s="207"/>
      <c r="I28" s="207"/>
      <c r="J28" s="207"/>
      <c r="K28" s="207"/>
      <c r="L28" s="208"/>
      <c r="M28" s="208"/>
      <c r="N28" s="208"/>
      <c r="O28" s="208"/>
    </row>
    <row r="29" spans="1:15" s="209" customFormat="1" ht="12.75" customHeight="1" x14ac:dyDescent="0.2">
      <c r="A29" s="184"/>
      <c r="B29" s="204"/>
      <c r="C29" s="205"/>
      <c r="D29" s="205"/>
      <c r="E29" s="184"/>
      <c r="F29" s="206"/>
      <c r="G29" s="207"/>
      <c r="H29" s="207"/>
      <c r="I29" s="207"/>
      <c r="J29" s="207"/>
      <c r="K29" s="207"/>
      <c r="L29" s="208"/>
      <c r="M29" s="208"/>
      <c r="N29" s="208"/>
      <c r="O29" s="208"/>
    </row>
    <row r="30" spans="1:15" s="209" customFormat="1" x14ac:dyDescent="0.2">
      <c r="A30" s="163"/>
      <c r="B30" s="163"/>
      <c r="C30" s="164"/>
      <c r="D30" s="164"/>
      <c r="E30" s="163"/>
      <c r="F30" s="165"/>
      <c r="G30" s="207"/>
      <c r="H30" s="207"/>
      <c r="I30" s="207"/>
      <c r="J30" s="207"/>
      <c r="K30" s="207"/>
      <c r="L30" s="208"/>
      <c r="M30" s="208"/>
      <c r="N30" s="208"/>
      <c r="O30" s="208"/>
    </row>
    <row r="31" spans="1:15" s="209" customFormat="1" ht="12.75" customHeight="1" x14ac:dyDescent="0.2">
      <c r="A31" s="223"/>
      <c r="B31" s="223"/>
      <c r="C31" s="223"/>
      <c r="D31" s="223"/>
      <c r="E31" s="223"/>
      <c r="F31" s="223"/>
      <c r="G31" s="207"/>
      <c r="H31" s="207"/>
      <c r="I31" s="207"/>
      <c r="J31" s="207"/>
      <c r="K31" s="207"/>
      <c r="L31" s="208"/>
      <c r="M31" s="208"/>
      <c r="N31" s="208"/>
      <c r="O31" s="208"/>
    </row>
    <row r="32" spans="1:15" s="209" customFormat="1" ht="12.75" customHeight="1" x14ac:dyDescent="0.2">
      <c r="A32" s="224"/>
      <c r="B32" s="224"/>
      <c r="C32" s="224"/>
      <c r="D32" s="224"/>
      <c r="E32" s="224"/>
      <c r="F32" s="224"/>
      <c r="G32" s="211"/>
      <c r="H32" s="211"/>
      <c r="I32" s="211"/>
      <c r="J32" s="211"/>
      <c r="K32" s="211"/>
      <c r="L32" s="208"/>
      <c r="M32" s="208"/>
      <c r="N32" s="208"/>
      <c r="O32" s="208"/>
    </row>
    <row r="33" spans="1:7" x14ac:dyDescent="0.25">
      <c r="A33" s="210"/>
      <c r="B33" s="207"/>
      <c r="C33" s="207"/>
      <c r="D33" s="207"/>
      <c r="E33" s="207"/>
      <c r="F33" s="207"/>
      <c r="G33" s="215"/>
    </row>
    <row r="34" spans="1:7" x14ac:dyDescent="0.25">
      <c r="A34" s="223"/>
      <c r="B34" s="223"/>
      <c r="C34" s="223"/>
      <c r="D34" s="223"/>
      <c r="E34" s="223"/>
      <c r="F34" s="223"/>
    </row>
    <row r="35" spans="1:7" x14ac:dyDescent="0.25">
      <c r="A35" s="224"/>
      <c r="B35" s="224"/>
      <c r="C35" s="224"/>
      <c r="D35" s="224"/>
      <c r="E35" s="224"/>
      <c r="F35" s="224"/>
    </row>
    <row r="36" spans="1:7" x14ac:dyDescent="0.25">
      <c r="A36" s="212"/>
      <c r="B36" s="212"/>
      <c r="C36" s="212"/>
      <c r="D36" s="213"/>
      <c r="E36" s="214"/>
      <c r="F36" s="215"/>
    </row>
    <row r="37" spans="1:7" x14ac:dyDescent="0.25">
      <c r="A37" s="216"/>
      <c r="B37" s="212"/>
      <c r="C37" s="212"/>
      <c r="D37" s="212"/>
    </row>
  </sheetData>
  <mergeCells count="10">
    <mergeCell ref="A31:F31"/>
    <mergeCell ref="A32:F32"/>
    <mergeCell ref="A34:F34"/>
    <mergeCell ref="A35:F35"/>
    <mergeCell ref="A12:F12"/>
    <mergeCell ref="A6:F6"/>
    <mergeCell ref="A7:F7"/>
    <mergeCell ref="A10:F10"/>
    <mergeCell ref="A11:F11"/>
    <mergeCell ref="A13:F13"/>
  </mergeCells>
  <pageMargins left="0.78740157480314965" right="0" top="0.59055118110236227" bottom="0" header="0.51181102362204722" footer="0.51181102362204722"/>
  <pageSetup paperSize="9" scale="9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171"/>
  <sheetViews>
    <sheetView view="pageBreakPreview" topLeftCell="A91" zoomScale="85" zoomScaleNormal="40" zoomScaleSheetLayoutView="85" zoomScalePageLayoutView="55" workbookViewId="0">
      <selection activeCell="I123" sqref="I123"/>
    </sheetView>
  </sheetViews>
  <sheetFormatPr defaultRowHeight="15" x14ac:dyDescent="0.25"/>
  <cols>
    <col min="1" max="1" width="6.7109375" style="7" customWidth="1"/>
    <col min="2" max="2" width="22.85546875" style="11" customWidth="1"/>
    <col min="3" max="5" width="9.140625" style="11"/>
    <col min="6" max="6" width="6.5703125" style="11" customWidth="1"/>
    <col min="7" max="7" width="10.42578125" style="7" customWidth="1"/>
    <col min="8" max="8" width="11.7109375" style="7" customWidth="1"/>
    <col min="9" max="9" width="11.5703125" style="50" customWidth="1"/>
    <col min="10" max="10" width="12.140625" style="24" customWidth="1"/>
    <col min="11" max="11" width="9.140625" style="7"/>
    <col min="12" max="12" width="13" style="7" customWidth="1"/>
    <col min="13" max="13" width="14.140625" style="7" customWidth="1"/>
    <col min="14" max="14" width="18.42578125" style="7" customWidth="1"/>
    <col min="15" max="15" width="9.140625" style="7"/>
    <col min="16" max="16" width="11.140625" style="7" bestFit="1" customWidth="1"/>
    <col min="17" max="16384" width="9.140625" style="7"/>
  </cols>
  <sheetData>
    <row r="1" spans="1:14" x14ac:dyDescent="0.25">
      <c r="M1" s="12" t="s">
        <v>300</v>
      </c>
    </row>
    <row r="2" spans="1:14" x14ac:dyDescent="0.25">
      <c r="M2" s="12" t="s">
        <v>31</v>
      </c>
    </row>
    <row r="3" spans="1:14" x14ac:dyDescent="0.25">
      <c r="M3" s="12"/>
    </row>
    <row r="5" spans="1:14" x14ac:dyDescent="0.25">
      <c r="L5" s="14" t="s">
        <v>84</v>
      </c>
    </row>
    <row r="6" spans="1:14" x14ac:dyDescent="0.25">
      <c r="A6" s="220" t="s">
        <v>21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15"/>
    </row>
    <row r="7" spans="1:14" x14ac:dyDescent="0.25">
      <c r="A7" s="220" t="s">
        <v>22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</row>
    <row r="8" spans="1:14" x14ac:dyDescent="0.25">
      <c r="A8" s="268" t="s">
        <v>249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</row>
    <row r="10" spans="1:14" x14ac:dyDescent="0.25">
      <c r="A10" s="7" t="s">
        <v>234</v>
      </c>
    </row>
    <row r="11" spans="1:14" x14ac:dyDescent="0.25">
      <c r="A11" s="7" t="s">
        <v>33</v>
      </c>
      <c r="L11" s="85"/>
    </row>
    <row r="12" spans="1:14" ht="15.75" thickBot="1" x14ac:dyDescent="0.3"/>
    <row r="13" spans="1:14" x14ac:dyDescent="0.25">
      <c r="A13" s="269" t="s">
        <v>34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1"/>
    </row>
    <row r="14" spans="1:14" x14ac:dyDescent="0.25">
      <c r="A14" s="272" t="s">
        <v>87</v>
      </c>
      <c r="B14" s="273"/>
      <c r="C14" s="273"/>
      <c r="D14" s="273"/>
      <c r="E14" s="273"/>
      <c r="F14" s="273"/>
      <c r="G14" s="274"/>
      <c r="H14" s="275" t="s">
        <v>35</v>
      </c>
      <c r="I14" s="273"/>
      <c r="J14" s="273"/>
      <c r="K14" s="273"/>
      <c r="L14" s="273"/>
      <c r="M14" s="274"/>
    </row>
    <row r="15" spans="1:14" x14ac:dyDescent="0.25">
      <c r="A15" s="272" t="s">
        <v>262</v>
      </c>
      <c r="B15" s="273"/>
      <c r="C15" s="273"/>
      <c r="D15" s="273"/>
      <c r="E15" s="273"/>
      <c r="F15" s="273"/>
      <c r="G15" s="274"/>
      <c r="H15" s="275" t="s">
        <v>261</v>
      </c>
      <c r="I15" s="273"/>
      <c r="J15" s="273"/>
      <c r="K15" s="273"/>
      <c r="L15" s="273"/>
      <c r="M15" s="274"/>
    </row>
    <row r="16" spans="1:14" x14ac:dyDescent="0.25">
      <c r="A16" s="259" t="s">
        <v>260</v>
      </c>
      <c r="B16" s="260"/>
      <c r="C16" s="260"/>
      <c r="D16" s="260"/>
      <c r="E16" s="260"/>
      <c r="F16" s="260"/>
      <c r="G16" s="261"/>
      <c r="H16" s="259" t="s">
        <v>260</v>
      </c>
      <c r="I16" s="260"/>
      <c r="J16" s="260"/>
      <c r="K16" s="260"/>
      <c r="L16" s="260"/>
      <c r="M16" s="262"/>
    </row>
    <row r="17" spans="1:13" x14ac:dyDescent="0.25">
      <c r="A17" s="259" t="str">
        <f>'Протокол ВЛ-0,4'!A17</f>
        <v>1,034965 (3,7%*1,05*0,9) производство работ в зимнее время</v>
      </c>
      <c r="B17" s="260"/>
      <c r="C17" s="260"/>
      <c r="D17" s="260"/>
      <c r="E17" s="260"/>
      <c r="F17" s="260"/>
      <c r="G17" s="262"/>
      <c r="H17" s="263" t="s">
        <v>240</v>
      </c>
      <c r="I17" s="260"/>
      <c r="J17" s="260"/>
      <c r="K17" s="260"/>
      <c r="L17" s="260"/>
      <c r="M17" s="262"/>
    </row>
    <row r="18" spans="1:13" ht="15.75" thickBot="1" x14ac:dyDescent="0.3">
      <c r="A18" s="264" t="s">
        <v>240</v>
      </c>
      <c r="B18" s="265"/>
      <c r="C18" s="265"/>
      <c r="D18" s="265"/>
      <c r="E18" s="265"/>
      <c r="F18" s="265"/>
      <c r="G18" s="266"/>
      <c r="H18" s="267"/>
      <c r="I18" s="265"/>
      <c r="J18" s="265"/>
      <c r="K18" s="265"/>
      <c r="L18" s="265"/>
      <c r="M18" s="266"/>
    </row>
    <row r="21" spans="1:13" s="17" customFormat="1" ht="45" x14ac:dyDescent="0.25">
      <c r="A21" s="16" t="s">
        <v>36</v>
      </c>
      <c r="B21" s="16" t="s">
        <v>37</v>
      </c>
      <c r="C21" s="276" t="s">
        <v>38</v>
      </c>
      <c r="D21" s="276"/>
      <c r="E21" s="276"/>
      <c r="F21" s="276"/>
      <c r="G21" s="16" t="s">
        <v>39</v>
      </c>
      <c r="H21" s="16" t="s">
        <v>40</v>
      </c>
      <c r="I21" s="53" t="s">
        <v>41</v>
      </c>
      <c r="J21" s="57" t="s">
        <v>42</v>
      </c>
      <c r="K21" s="16" t="s">
        <v>43</v>
      </c>
      <c r="L21" s="16" t="s">
        <v>44</v>
      </c>
      <c r="M21" s="16" t="s">
        <v>235</v>
      </c>
    </row>
    <row r="22" spans="1:13" ht="22.5" customHeight="1" x14ac:dyDescent="0.25">
      <c r="A22" s="18">
        <v>1</v>
      </c>
      <c r="B22" s="34">
        <v>2</v>
      </c>
      <c r="C22" s="229">
        <v>3</v>
      </c>
      <c r="D22" s="229"/>
      <c r="E22" s="229"/>
      <c r="F22" s="229"/>
      <c r="G22" s="34">
        <v>4</v>
      </c>
      <c r="H22" s="18">
        <v>5</v>
      </c>
      <c r="I22" s="54">
        <v>6</v>
      </c>
      <c r="J22" s="58">
        <v>7</v>
      </c>
      <c r="K22" s="18">
        <v>8</v>
      </c>
      <c r="L22" s="18">
        <v>9</v>
      </c>
      <c r="M22" s="18">
        <v>10</v>
      </c>
    </row>
    <row r="23" spans="1:13" x14ac:dyDescent="0.25">
      <c r="A23" s="19">
        <v>1</v>
      </c>
      <c r="B23" s="77" t="s">
        <v>119</v>
      </c>
      <c r="C23" s="228" t="s">
        <v>45</v>
      </c>
      <c r="D23" s="228"/>
      <c r="E23" s="228"/>
      <c r="F23" s="228"/>
      <c r="G23" s="62" t="s">
        <v>151</v>
      </c>
      <c r="H23" s="63">
        <v>1</v>
      </c>
      <c r="I23" s="64">
        <v>451</v>
      </c>
      <c r="J23" s="121">
        <f>H23*I23</f>
        <v>451</v>
      </c>
      <c r="K23" s="66">
        <f>1.0565*1.034965*1.015</f>
        <v>1.1098421303374999</v>
      </c>
      <c r="L23" s="65">
        <f>J23*K23</f>
        <v>500.53880078221243</v>
      </c>
      <c r="M23" s="65">
        <f>L23*1.2</f>
        <v>600.64656093865494</v>
      </c>
    </row>
    <row r="24" spans="1:13" ht="48.75" customHeight="1" x14ac:dyDescent="0.25">
      <c r="A24" s="19">
        <v>2</v>
      </c>
      <c r="B24" s="77" t="s">
        <v>120</v>
      </c>
      <c r="C24" s="228" t="s">
        <v>46</v>
      </c>
      <c r="D24" s="228"/>
      <c r="E24" s="228"/>
      <c r="F24" s="228"/>
      <c r="G24" s="62" t="s">
        <v>151</v>
      </c>
      <c r="H24" s="63">
        <v>1</v>
      </c>
      <c r="I24" s="64">
        <v>1071</v>
      </c>
      <c r="J24" s="121">
        <f t="shared" ref="J24:J88" si="0">H24*I24</f>
        <v>1071</v>
      </c>
      <c r="K24" s="66">
        <f t="shared" ref="K24:K87" si="1">1.0565*1.034965*1.015</f>
        <v>1.1098421303374999</v>
      </c>
      <c r="L24" s="65">
        <f t="shared" ref="L24:L88" si="2">J24*K24</f>
        <v>1188.6409215914623</v>
      </c>
      <c r="M24" s="65">
        <f t="shared" ref="M24:M88" si="3">L24*1.2</f>
        <v>1426.3691059097548</v>
      </c>
    </row>
    <row r="25" spans="1:13" ht="60.75" customHeight="1" x14ac:dyDescent="0.25">
      <c r="A25" s="19">
        <v>3</v>
      </c>
      <c r="B25" s="77" t="s">
        <v>121</v>
      </c>
      <c r="C25" s="228" t="s">
        <v>47</v>
      </c>
      <c r="D25" s="228"/>
      <c r="E25" s="228"/>
      <c r="F25" s="228"/>
      <c r="G25" s="62" t="s">
        <v>151</v>
      </c>
      <c r="H25" s="63">
        <v>1</v>
      </c>
      <c r="I25" s="64">
        <v>370</v>
      </c>
      <c r="J25" s="121">
        <f t="shared" si="0"/>
        <v>370</v>
      </c>
      <c r="K25" s="66">
        <f t="shared" si="1"/>
        <v>1.1098421303374999</v>
      </c>
      <c r="L25" s="65">
        <f t="shared" si="2"/>
        <v>410.64158822487497</v>
      </c>
      <c r="M25" s="65">
        <f t="shared" si="3"/>
        <v>492.76990586984994</v>
      </c>
    </row>
    <row r="26" spans="1:13" ht="48.75" customHeight="1" x14ac:dyDescent="0.25">
      <c r="A26" s="19">
        <v>4</v>
      </c>
      <c r="B26" s="77" t="s">
        <v>122</v>
      </c>
      <c r="C26" s="228" t="s">
        <v>48</v>
      </c>
      <c r="D26" s="228"/>
      <c r="E26" s="228"/>
      <c r="F26" s="228"/>
      <c r="G26" s="62" t="s">
        <v>151</v>
      </c>
      <c r="H26" s="63">
        <v>1</v>
      </c>
      <c r="I26" s="64">
        <v>432</v>
      </c>
      <c r="J26" s="121">
        <f t="shared" si="0"/>
        <v>432</v>
      </c>
      <c r="K26" s="66">
        <f t="shared" si="1"/>
        <v>1.1098421303374999</v>
      </c>
      <c r="L26" s="65">
        <f t="shared" si="2"/>
        <v>479.45180030579996</v>
      </c>
      <c r="M26" s="65">
        <f t="shared" si="3"/>
        <v>575.34216036695989</v>
      </c>
    </row>
    <row r="27" spans="1:13" ht="48" customHeight="1" x14ac:dyDescent="0.25">
      <c r="A27" s="19">
        <v>5</v>
      </c>
      <c r="B27" s="77" t="s">
        <v>123</v>
      </c>
      <c r="C27" s="228" t="s">
        <v>49</v>
      </c>
      <c r="D27" s="228"/>
      <c r="E27" s="228"/>
      <c r="F27" s="228"/>
      <c r="G27" s="62" t="s">
        <v>151</v>
      </c>
      <c r="H27" s="63">
        <v>1</v>
      </c>
      <c r="I27" s="64">
        <v>4537</v>
      </c>
      <c r="J27" s="121">
        <f t="shared" si="0"/>
        <v>4537</v>
      </c>
      <c r="K27" s="66">
        <f t="shared" si="1"/>
        <v>1.1098421303374999</v>
      </c>
      <c r="L27" s="65">
        <f t="shared" si="2"/>
        <v>5035.3537453412373</v>
      </c>
      <c r="M27" s="65">
        <f t="shared" si="3"/>
        <v>6042.4244944094844</v>
      </c>
    </row>
    <row r="28" spans="1:13" ht="64.5" customHeight="1" x14ac:dyDescent="0.25">
      <c r="A28" s="19">
        <v>6</v>
      </c>
      <c r="B28" s="77" t="s">
        <v>124</v>
      </c>
      <c r="C28" s="228" t="s">
        <v>50</v>
      </c>
      <c r="D28" s="228"/>
      <c r="E28" s="228"/>
      <c r="F28" s="228"/>
      <c r="G28" s="62" t="s">
        <v>151</v>
      </c>
      <c r="H28" s="63">
        <v>1</v>
      </c>
      <c r="I28" s="64">
        <v>9505</v>
      </c>
      <c r="J28" s="121">
        <f t="shared" si="0"/>
        <v>9505</v>
      </c>
      <c r="K28" s="66">
        <f t="shared" si="1"/>
        <v>1.1098421303374999</v>
      </c>
      <c r="L28" s="65">
        <f t="shared" si="2"/>
        <v>10549.049448857937</v>
      </c>
      <c r="M28" s="65">
        <f t="shared" si="3"/>
        <v>12658.859338629523</v>
      </c>
    </row>
    <row r="29" spans="1:13" ht="59.25" customHeight="1" x14ac:dyDescent="0.25">
      <c r="A29" s="19">
        <v>7</v>
      </c>
      <c r="B29" s="77" t="s">
        <v>125</v>
      </c>
      <c r="C29" s="228" t="s">
        <v>51</v>
      </c>
      <c r="D29" s="228"/>
      <c r="E29" s="228"/>
      <c r="F29" s="228"/>
      <c r="G29" s="62" t="s">
        <v>151</v>
      </c>
      <c r="H29" s="63">
        <v>1</v>
      </c>
      <c r="I29" s="64">
        <v>14675</v>
      </c>
      <c r="J29" s="121">
        <f t="shared" si="0"/>
        <v>14675</v>
      </c>
      <c r="K29" s="66">
        <f t="shared" si="1"/>
        <v>1.1098421303374999</v>
      </c>
      <c r="L29" s="65">
        <f t="shared" si="2"/>
        <v>16286.933262702811</v>
      </c>
      <c r="M29" s="65">
        <f t="shared" si="3"/>
        <v>19544.319915243374</v>
      </c>
    </row>
    <row r="30" spans="1:13" ht="30" customHeight="1" x14ac:dyDescent="0.25">
      <c r="A30" s="19">
        <v>8</v>
      </c>
      <c r="B30" s="77" t="s">
        <v>126</v>
      </c>
      <c r="C30" s="228" t="s">
        <v>52</v>
      </c>
      <c r="D30" s="228"/>
      <c r="E30" s="228"/>
      <c r="F30" s="228"/>
      <c r="G30" s="51" t="s">
        <v>142</v>
      </c>
      <c r="H30" s="63">
        <v>1</v>
      </c>
      <c r="I30" s="64">
        <v>6349</v>
      </c>
      <c r="J30" s="121">
        <f t="shared" si="0"/>
        <v>6349</v>
      </c>
      <c r="K30" s="66">
        <f t="shared" si="1"/>
        <v>1.1098421303374999</v>
      </c>
      <c r="L30" s="65">
        <f t="shared" si="2"/>
        <v>7046.3876855127864</v>
      </c>
      <c r="M30" s="65">
        <f t="shared" si="3"/>
        <v>8455.6652226153437</v>
      </c>
    </row>
    <row r="31" spans="1:13" ht="47.25" customHeight="1" x14ac:dyDescent="0.25">
      <c r="A31" s="19">
        <v>9</v>
      </c>
      <c r="B31" s="77" t="s">
        <v>127</v>
      </c>
      <c r="C31" s="228" t="s">
        <v>6</v>
      </c>
      <c r="D31" s="228"/>
      <c r="E31" s="228"/>
      <c r="F31" s="228"/>
      <c r="G31" s="16" t="s">
        <v>143</v>
      </c>
      <c r="H31" s="67">
        <v>0.08</v>
      </c>
      <c r="I31" s="64">
        <f>1118/H31</f>
        <v>13975</v>
      </c>
      <c r="J31" s="121">
        <f t="shared" si="0"/>
        <v>1118</v>
      </c>
      <c r="K31" s="66">
        <f t="shared" si="1"/>
        <v>1.1098421303374999</v>
      </c>
      <c r="L31" s="65">
        <f t="shared" si="2"/>
        <v>1240.8035017173249</v>
      </c>
      <c r="M31" s="65">
        <f t="shared" si="3"/>
        <v>1488.9642020607898</v>
      </c>
    </row>
    <row r="32" spans="1:13" ht="44.25" customHeight="1" x14ac:dyDescent="0.25">
      <c r="A32" s="19">
        <v>10</v>
      </c>
      <c r="B32" s="77" t="s">
        <v>139</v>
      </c>
      <c r="C32" s="228" t="s">
        <v>154</v>
      </c>
      <c r="D32" s="228"/>
      <c r="E32" s="228"/>
      <c r="F32" s="228"/>
      <c r="G32" s="16" t="s">
        <v>145</v>
      </c>
      <c r="H32" s="67">
        <v>4.9280000000000001E-3</v>
      </c>
      <c r="I32" s="64">
        <f>213/H32</f>
        <v>43222.402597402594</v>
      </c>
      <c r="J32" s="121">
        <f t="shared" si="0"/>
        <v>212.99999999999997</v>
      </c>
      <c r="K32" s="66">
        <f t="shared" si="1"/>
        <v>1.1098421303374999</v>
      </c>
      <c r="L32" s="65">
        <f t="shared" si="2"/>
        <v>236.39637376188745</v>
      </c>
      <c r="M32" s="65">
        <f t="shared" si="3"/>
        <v>283.67564851426494</v>
      </c>
    </row>
    <row r="33" spans="1:14" s="23" customFormat="1" ht="31.5" customHeight="1" x14ac:dyDescent="0.25">
      <c r="A33" s="21">
        <v>11</v>
      </c>
      <c r="B33" s="77" t="s">
        <v>128</v>
      </c>
      <c r="C33" s="228" t="s">
        <v>236</v>
      </c>
      <c r="D33" s="228"/>
      <c r="E33" s="228"/>
      <c r="F33" s="228"/>
      <c r="G33" s="16" t="s">
        <v>143</v>
      </c>
      <c r="H33" s="67">
        <v>0.04</v>
      </c>
      <c r="I33" s="64">
        <f>468/H33</f>
        <v>11700</v>
      </c>
      <c r="J33" s="121">
        <f t="shared" si="0"/>
        <v>468</v>
      </c>
      <c r="K33" s="66">
        <f t="shared" si="1"/>
        <v>1.1098421303374999</v>
      </c>
      <c r="L33" s="65">
        <f t="shared" si="2"/>
        <v>519.40611699794999</v>
      </c>
      <c r="M33" s="65">
        <f t="shared" si="3"/>
        <v>623.28734039753999</v>
      </c>
    </row>
    <row r="34" spans="1:14" s="48" customFormat="1" ht="22.5" customHeight="1" x14ac:dyDescent="0.25">
      <c r="A34" s="47">
        <v>12</v>
      </c>
      <c r="B34" s="78" t="s">
        <v>140</v>
      </c>
      <c r="C34" s="257" t="s">
        <v>153</v>
      </c>
      <c r="D34" s="257"/>
      <c r="E34" s="257"/>
      <c r="F34" s="257"/>
      <c r="G34" s="57" t="s">
        <v>145</v>
      </c>
      <c r="H34" s="67">
        <v>5.0400000000000002E-3</v>
      </c>
      <c r="I34" s="68">
        <f>268/H34</f>
        <v>53174.603174603173</v>
      </c>
      <c r="J34" s="121">
        <f t="shared" si="0"/>
        <v>268</v>
      </c>
      <c r="K34" s="66">
        <f t="shared" si="1"/>
        <v>1.1098421303374999</v>
      </c>
      <c r="L34" s="65">
        <f t="shared" si="2"/>
        <v>297.43769093044995</v>
      </c>
      <c r="M34" s="65">
        <f t="shared" si="3"/>
        <v>356.92522911653992</v>
      </c>
    </row>
    <row r="35" spans="1:14" ht="29.25" customHeight="1" x14ac:dyDescent="0.25">
      <c r="A35" s="19">
        <v>13</v>
      </c>
      <c r="B35" s="79" t="s">
        <v>129</v>
      </c>
      <c r="C35" s="258" t="s">
        <v>237</v>
      </c>
      <c r="D35" s="258"/>
      <c r="E35" s="258"/>
      <c r="F35" s="258"/>
      <c r="G35" s="69" t="s">
        <v>147</v>
      </c>
      <c r="H35" s="67">
        <v>0.3</v>
      </c>
      <c r="I35" s="64">
        <f>2239/H35</f>
        <v>7463.3333333333339</v>
      </c>
      <c r="J35" s="121">
        <f t="shared" si="0"/>
        <v>2239</v>
      </c>
      <c r="K35" s="66">
        <f t="shared" si="1"/>
        <v>1.1098421303374999</v>
      </c>
      <c r="L35" s="65">
        <f t="shared" si="2"/>
        <v>2484.9365298256621</v>
      </c>
      <c r="M35" s="65">
        <f t="shared" si="3"/>
        <v>2981.9238357907943</v>
      </c>
    </row>
    <row r="36" spans="1:14" ht="54" customHeight="1" x14ac:dyDescent="0.25">
      <c r="A36" s="19">
        <v>14</v>
      </c>
      <c r="B36" s="77" t="s">
        <v>141</v>
      </c>
      <c r="C36" s="228" t="s">
        <v>152</v>
      </c>
      <c r="D36" s="228"/>
      <c r="E36" s="228"/>
      <c r="F36" s="228"/>
      <c r="G36" s="16" t="s">
        <v>145</v>
      </c>
      <c r="H36" s="67">
        <v>3.3930000000000002E-2</v>
      </c>
      <c r="I36" s="64">
        <f>1548/H36</f>
        <v>45623.342175066311</v>
      </c>
      <c r="J36" s="121">
        <f t="shared" si="0"/>
        <v>1548</v>
      </c>
      <c r="K36" s="66">
        <f t="shared" si="1"/>
        <v>1.1098421303374999</v>
      </c>
      <c r="L36" s="65">
        <f t="shared" si="2"/>
        <v>1718.0356177624499</v>
      </c>
      <c r="M36" s="65">
        <f t="shared" si="3"/>
        <v>2061.6427413149399</v>
      </c>
    </row>
    <row r="37" spans="1:14" ht="43.5" customHeight="1" x14ac:dyDescent="0.25">
      <c r="A37" s="19">
        <v>15</v>
      </c>
      <c r="B37" s="77" t="s">
        <v>130</v>
      </c>
      <c r="C37" s="228" t="s">
        <v>53</v>
      </c>
      <c r="D37" s="228"/>
      <c r="E37" s="228"/>
      <c r="F37" s="228"/>
      <c r="G37" s="16" t="s">
        <v>148</v>
      </c>
      <c r="H37" s="63">
        <v>1</v>
      </c>
      <c r="I37" s="64">
        <f>965</f>
        <v>965</v>
      </c>
      <c r="J37" s="121">
        <f t="shared" si="0"/>
        <v>965</v>
      </c>
      <c r="K37" s="98">
        <f>1.0565*1.015</f>
        <v>1.0723474999999998</v>
      </c>
      <c r="L37" s="65">
        <f t="shared" si="2"/>
        <v>1034.8153374999997</v>
      </c>
      <c r="M37" s="65">
        <f t="shared" si="3"/>
        <v>1241.7784049999996</v>
      </c>
    </row>
    <row r="38" spans="1:14" ht="44.25" customHeight="1" x14ac:dyDescent="0.25">
      <c r="A38" s="19">
        <v>16</v>
      </c>
      <c r="B38" s="77" t="s">
        <v>131</v>
      </c>
      <c r="C38" s="228" t="s">
        <v>54</v>
      </c>
      <c r="D38" s="228"/>
      <c r="E38" s="228"/>
      <c r="F38" s="228"/>
      <c r="G38" s="16" t="s">
        <v>149</v>
      </c>
      <c r="H38" s="63">
        <v>0.01</v>
      </c>
      <c r="I38" s="64">
        <f>88/H38</f>
        <v>8800</v>
      </c>
      <c r="J38" s="121">
        <f t="shared" si="0"/>
        <v>88</v>
      </c>
      <c r="K38" s="66">
        <f t="shared" si="1"/>
        <v>1.1098421303374999</v>
      </c>
      <c r="L38" s="65">
        <f t="shared" si="2"/>
        <v>97.666107469699995</v>
      </c>
      <c r="M38" s="65">
        <f t="shared" si="3"/>
        <v>117.19932896363999</v>
      </c>
    </row>
    <row r="39" spans="1:14" ht="57" customHeight="1" x14ac:dyDescent="0.25">
      <c r="A39" s="19">
        <v>17</v>
      </c>
      <c r="B39" s="77" t="s">
        <v>132</v>
      </c>
      <c r="C39" s="228" t="s">
        <v>55</v>
      </c>
      <c r="D39" s="228"/>
      <c r="E39" s="228"/>
      <c r="F39" s="228"/>
      <c r="G39" s="16" t="s">
        <v>150</v>
      </c>
      <c r="H39" s="63">
        <v>1</v>
      </c>
      <c r="I39" s="64">
        <f>59721-245.67</f>
        <v>59475.33</v>
      </c>
      <c r="J39" s="121">
        <f t="shared" si="0"/>
        <v>59475.33</v>
      </c>
      <c r="K39" s="66">
        <f t="shared" si="1"/>
        <v>1.1098421303374999</v>
      </c>
      <c r="L39" s="65">
        <f t="shared" si="2"/>
        <v>66008.226949725824</v>
      </c>
      <c r="M39" s="65">
        <f t="shared" si="3"/>
        <v>79209.872339670983</v>
      </c>
      <c r="N39" s="28"/>
    </row>
    <row r="40" spans="1:14" ht="27.75" customHeight="1" x14ac:dyDescent="0.25">
      <c r="A40" s="21">
        <v>18</v>
      </c>
      <c r="B40" s="77" t="s">
        <v>133</v>
      </c>
      <c r="C40" s="228" t="s">
        <v>56</v>
      </c>
      <c r="D40" s="228"/>
      <c r="E40" s="228"/>
      <c r="F40" s="228"/>
      <c r="G40" s="16" t="s">
        <v>151</v>
      </c>
      <c r="H40" s="63">
        <v>9</v>
      </c>
      <c r="I40" s="64">
        <f>38763/H40</f>
        <v>4307</v>
      </c>
      <c r="J40" s="121">
        <f t="shared" si="0"/>
        <v>38763</v>
      </c>
      <c r="K40" s="66">
        <f t="shared" si="1"/>
        <v>1.1098421303374999</v>
      </c>
      <c r="L40" s="65">
        <f t="shared" si="2"/>
        <v>43020.810498272505</v>
      </c>
      <c r="M40" s="65">
        <f t="shared" si="3"/>
        <v>51624.972597927008</v>
      </c>
    </row>
    <row r="41" spans="1:14" ht="33" customHeight="1" x14ac:dyDescent="0.25">
      <c r="A41" s="21">
        <v>19</v>
      </c>
      <c r="B41" s="77" t="s">
        <v>134</v>
      </c>
      <c r="C41" s="228" t="s">
        <v>57</v>
      </c>
      <c r="D41" s="228"/>
      <c r="E41" s="228"/>
      <c r="F41" s="228"/>
      <c r="G41" s="16" t="s">
        <v>142</v>
      </c>
      <c r="H41" s="63">
        <v>1</v>
      </c>
      <c r="I41" s="64">
        <f>3539</f>
        <v>3539</v>
      </c>
      <c r="J41" s="121">
        <f t="shared" si="0"/>
        <v>3539</v>
      </c>
      <c r="K41" s="66">
        <f t="shared" si="1"/>
        <v>1.1098421303374999</v>
      </c>
      <c r="L41" s="65">
        <f t="shared" si="2"/>
        <v>3927.731299264412</v>
      </c>
      <c r="M41" s="65">
        <f t="shared" si="3"/>
        <v>4713.277559117294</v>
      </c>
    </row>
    <row r="42" spans="1:14" ht="45.75" customHeight="1" x14ac:dyDescent="0.25">
      <c r="A42" s="21">
        <v>20</v>
      </c>
      <c r="B42" s="77" t="s">
        <v>127</v>
      </c>
      <c r="C42" s="228" t="s">
        <v>6</v>
      </c>
      <c r="D42" s="228"/>
      <c r="E42" s="228"/>
      <c r="F42" s="228"/>
      <c r="G42" s="16" t="s">
        <v>143</v>
      </c>
      <c r="H42" s="67">
        <v>0.16</v>
      </c>
      <c r="I42" s="64">
        <f>2235/H42</f>
        <v>13968.75</v>
      </c>
      <c r="J42" s="121">
        <f t="shared" si="0"/>
        <v>2235</v>
      </c>
      <c r="K42" s="66">
        <f t="shared" si="1"/>
        <v>1.1098421303374999</v>
      </c>
      <c r="L42" s="65">
        <f t="shared" si="2"/>
        <v>2480.4971613043122</v>
      </c>
      <c r="M42" s="65">
        <f t="shared" si="3"/>
        <v>2976.5965935651743</v>
      </c>
    </row>
    <row r="43" spans="1:14" ht="30.75" customHeight="1" x14ac:dyDescent="0.25">
      <c r="A43" s="21">
        <v>21</v>
      </c>
      <c r="B43" s="77" t="s">
        <v>139</v>
      </c>
      <c r="C43" s="228" t="s">
        <v>144</v>
      </c>
      <c r="D43" s="228"/>
      <c r="E43" s="228"/>
      <c r="F43" s="228"/>
      <c r="G43" s="16" t="s">
        <v>145</v>
      </c>
      <c r="H43" s="67">
        <v>9.8560000000000002E-3</v>
      </c>
      <c r="I43" s="64">
        <f>427/H43</f>
        <v>43323.863636363632</v>
      </c>
      <c r="J43" s="121">
        <f t="shared" si="0"/>
        <v>426.99999999999994</v>
      </c>
      <c r="K43" s="66">
        <f t="shared" si="1"/>
        <v>1.1098421303374999</v>
      </c>
      <c r="L43" s="65">
        <f t="shared" si="2"/>
        <v>473.90258965411238</v>
      </c>
      <c r="M43" s="65">
        <f t="shared" si="3"/>
        <v>568.68310758493487</v>
      </c>
    </row>
    <row r="44" spans="1:14" ht="30" customHeight="1" x14ac:dyDescent="0.25">
      <c r="A44" s="20">
        <v>22</v>
      </c>
      <c r="B44" s="77" t="s">
        <v>129</v>
      </c>
      <c r="C44" s="228" t="s">
        <v>7</v>
      </c>
      <c r="D44" s="228"/>
      <c r="E44" s="228"/>
      <c r="F44" s="228"/>
      <c r="G44" s="16" t="s">
        <v>147</v>
      </c>
      <c r="H44" s="63">
        <v>0.1</v>
      </c>
      <c r="I44" s="70">
        <f>747/H44</f>
        <v>7470</v>
      </c>
      <c r="J44" s="121">
        <f t="shared" si="0"/>
        <v>747</v>
      </c>
      <c r="K44" s="66">
        <f t="shared" si="1"/>
        <v>1.1098421303374999</v>
      </c>
      <c r="L44" s="65">
        <f t="shared" si="2"/>
        <v>829.05207136211243</v>
      </c>
      <c r="M44" s="65">
        <f t="shared" si="3"/>
        <v>994.86248563453489</v>
      </c>
    </row>
    <row r="45" spans="1:14" ht="44.25" customHeight="1" x14ac:dyDescent="0.25">
      <c r="A45" s="22">
        <v>23</v>
      </c>
      <c r="B45" s="77" t="s">
        <v>141</v>
      </c>
      <c r="C45" s="228" t="s">
        <v>152</v>
      </c>
      <c r="D45" s="228"/>
      <c r="E45" s="228"/>
      <c r="F45" s="228"/>
      <c r="G45" s="16" t="s">
        <v>145</v>
      </c>
      <c r="H45" s="67">
        <v>1.1310000000000001E-2</v>
      </c>
      <c r="I45" s="70">
        <f>516/H45</f>
        <v>45623.342175066311</v>
      </c>
      <c r="J45" s="121">
        <f t="shared" si="0"/>
        <v>516</v>
      </c>
      <c r="K45" s="66">
        <f t="shared" si="1"/>
        <v>1.1098421303374999</v>
      </c>
      <c r="L45" s="65">
        <f t="shared" si="2"/>
        <v>572.67853925415</v>
      </c>
      <c r="M45" s="65">
        <f t="shared" si="3"/>
        <v>687.21424710498002</v>
      </c>
    </row>
    <row r="46" spans="1:14" s="23" customFormat="1" ht="46.5" customHeight="1" x14ac:dyDescent="0.25">
      <c r="A46" s="22">
        <v>24</v>
      </c>
      <c r="B46" s="81" t="s">
        <v>135</v>
      </c>
      <c r="C46" s="255" t="s">
        <v>155</v>
      </c>
      <c r="D46" s="255"/>
      <c r="E46" s="255"/>
      <c r="F46" s="255"/>
      <c r="G46" s="82" t="s">
        <v>156</v>
      </c>
      <c r="H46" s="83">
        <v>7.0000000000000001E-3</v>
      </c>
      <c r="I46" s="84">
        <f>850/H46</f>
        <v>121428.57142857142</v>
      </c>
      <c r="J46" s="121">
        <f t="shared" si="0"/>
        <v>850</v>
      </c>
      <c r="K46" s="66">
        <f t="shared" si="1"/>
        <v>1.1098421303374999</v>
      </c>
      <c r="L46" s="65">
        <f t="shared" si="2"/>
        <v>943.36581078687493</v>
      </c>
      <c r="M46" s="65">
        <f t="shared" si="3"/>
        <v>1132.03897294425</v>
      </c>
      <c r="N46" s="80"/>
    </row>
    <row r="47" spans="1:14" ht="36" customHeight="1" x14ac:dyDescent="0.25">
      <c r="A47" s="22">
        <v>25</v>
      </c>
      <c r="B47" s="71" t="s">
        <v>128</v>
      </c>
      <c r="C47" s="256" t="s">
        <v>72</v>
      </c>
      <c r="D47" s="256"/>
      <c r="E47" s="256"/>
      <c r="F47" s="256"/>
      <c r="G47" s="51" t="s">
        <v>143</v>
      </c>
      <c r="H47" s="67">
        <v>7.0000000000000007E-2</v>
      </c>
      <c r="I47" s="70">
        <f>816/H47</f>
        <v>11657.142857142857</v>
      </c>
      <c r="J47" s="121">
        <f t="shared" si="0"/>
        <v>816.00000000000011</v>
      </c>
      <c r="K47" s="66">
        <f t="shared" si="1"/>
        <v>1.1098421303374999</v>
      </c>
      <c r="L47" s="65">
        <f t="shared" si="2"/>
        <v>905.63117835540004</v>
      </c>
      <c r="M47" s="65">
        <f t="shared" si="3"/>
        <v>1086.7574140264801</v>
      </c>
    </row>
    <row r="48" spans="1:14" ht="17.25" customHeight="1" x14ac:dyDescent="0.25">
      <c r="A48" s="22">
        <v>26</v>
      </c>
      <c r="B48" s="71" t="s">
        <v>140</v>
      </c>
      <c r="C48" s="256" t="s">
        <v>146</v>
      </c>
      <c r="D48" s="256"/>
      <c r="E48" s="256"/>
      <c r="F48" s="256"/>
      <c r="G48" s="51" t="s">
        <v>145</v>
      </c>
      <c r="H48" s="67">
        <v>8.8199999999999997E-3</v>
      </c>
      <c r="I48" s="70">
        <f>469/H48</f>
        <v>53174.603174603173</v>
      </c>
      <c r="J48" s="121">
        <f t="shared" si="0"/>
        <v>469</v>
      </c>
      <c r="K48" s="66">
        <f t="shared" si="1"/>
        <v>1.1098421303374999</v>
      </c>
      <c r="L48" s="65">
        <f t="shared" si="2"/>
        <v>520.51595912828748</v>
      </c>
      <c r="M48" s="65">
        <f t="shared" si="3"/>
        <v>624.619150953945</v>
      </c>
    </row>
    <row r="49" spans="1:14" ht="28.5" customHeight="1" x14ac:dyDescent="0.25">
      <c r="A49" s="22">
        <v>27</v>
      </c>
      <c r="B49" s="71" t="s">
        <v>136</v>
      </c>
      <c r="C49" s="256" t="s">
        <v>73</v>
      </c>
      <c r="D49" s="256"/>
      <c r="E49" s="256"/>
      <c r="F49" s="256"/>
      <c r="G49" s="51" t="s">
        <v>156</v>
      </c>
      <c r="H49" s="67">
        <v>7.0000000000000007E-2</v>
      </c>
      <c r="I49" s="70">
        <f>2661/H49</f>
        <v>38014.28571428571</v>
      </c>
      <c r="J49" s="121">
        <f t="shared" si="0"/>
        <v>2661</v>
      </c>
      <c r="K49" s="66">
        <f t="shared" si="1"/>
        <v>1.1098421303374999</v>
      </c>
      <c r="L49" s="65">
        <f t="shared" si="2"/>
        <v>2953.2899088280874</v>
      </c>
      <c r="M49" s="65">
        <f t="shared" si="3"/>
        <v>3543.9478905937049</v>
      </c>
    </row>
    <row r="50" spans="1:14" ht="79.5" customHeight="1" x14ac:dyDescent="0.25">
      <c r="A50" s="20">
        <v>28</v>
      </c>
      <c r="B50" s="71" t="s">
        <v>259</v>
      </c>
      <c r="C50" s="225" t="s">
        <v>251</v>
      </c>
      <c r="D50" s="226"/>
      <c r="E50" s="226"/>
      <c r="F50" s="227"/>
      <c r="G50" s="51" t="s">
        <v>173</v>
      </c>
      <c r="H50" s="63">
        <v>1</v>
      </c>
      <c r="I50" s="70">
        <f>6048</f>
        <v>6048</v>
      </c>
      <c r="J50" s="121">
        <f t="shared" si="0"/>
        <v>6048</v>
      </c>
      <c r="K50" s="66">
        <f t="shared" si="1"/>
        <v>1.1098421303374999</v>
      </c>
      <c r="L50" s="65">
        <f t="shared" si="2"/>
        <v>6712.3252042811991</v>
      </c>
      <c r="M50" s="65">
        <f t="shared" si="3"/>
        <v>8054.7902451374384</v>
      </c>
      <c r="N50" s="28"/>
    </row>
    <row r="51" spans="1:14" ht="52.5" customHeight="1" x14ac:dyDescent="0.25">
      <c r="A51" s="20">
        <v>29</v>
      </c>
      <c r="B51" s="71" t="s">
        <v>137</v>
      </c>
      <c r="C51" s="225" t="s">
        <v>60</v>
      </c>
      <c r="D51" s="226"/>
      <c r="E51" s="226"/>
      <c r="F51" s="227"/>
      <c r="G51" s="51" t="s">
        <v>174</v>
      </c>
      <c r="H51" s="63">
        <v>1</v>
      </c>
      <c r="I51" s="70">
        <f>1933</f>
        <v>1933</v>
      </c>
      <c r="J51" s="121">
        <f t="shared" si="0"/>
        <v>1933</v>
      </c>
      <c r="K51" s="66">
        <f t="shared" si="1"/>
        <v>1.1098421303374999</v>
      </c>
      <c r="L51" s="65">
        <f t="shared" si="2"/>
        <v>2145.3248379423871</v>
      </c>
      <c r="M51" s="65">
        <f t="shared" si="3"/>
        <v>2574.3898055308646</v>
      </c>
      <c r="N51" s="6"/>
    </row>
    <row r="52" spans="1:14" ht="37.5" customHeight="1" x14ac:dyDescent="0.25">
      <c r="A52" s="20">
        <v>30</v>
      </c>
      <c r="B52" s="71" t="s">
        <v>267</v>
      </c>
      <c r="C52" s="225" t="s">
        <v>268</v>
      </c>
      <c r="D52" s="226"/>
      <c r="E52" s="226"/>
      <c r="F52" s="227"/>
      <c r="G52" s="51" t="s">
        <v>149</v>
      </c>
      <c r="H52" s="67">
        <v>0.01</v>
      </c>
      <c r="I52" s="86">
        <f>40/H52</f>
        <v>4000</v>
      </c>
      <c r="J52" s="121">
        <f t="shared" si="0"/>
        <v>40</v>
      </c>
      <c r="K52" s="66">
        <f t="shared" si="1"/>
        <v>1.1098421303374999</v>
      </c>
      <c r="L52" s="65">
        <f t="shared" si="2"/>
        <v>44.393685213499992</v>
      </c>
      <c r="M52" s="65">
        <f t="shared" si="3"/>
        <v>53.272422256199988</v>
      </c>
    </row>
    <row r="53" spans="1:14" ht="60" customHeight="1" x14ac:dyDescent="0.25">
      <c r="A53" s="20">
        <v>31</v>
      </c>
      <c r="B53" s="71" t="s">
        <v>270</v>
      </c>
      <c r="C53" s="225" t="s">
        <v>269</v>
      </c>
      <c r="D53" s="226"/>
      <c r="E53" s="226"/>
      <c r="F53" s="227"/>
      <c r="G53" s="51" t="s">
        <v>149</v>
      </c>
      <c r="H53" s="67">
        <v>0.01</v>
      </c>
      <c r="I53" s="86">
        <f>293/H53</f>
        <v>29300</v>
      </c>
      <c r="J53" s="121">
        <f t="shared" si="0"/>
        <v>293</v>
      </c>
      <c r="K53" s="66">
        <f t="shared" si="1"/>
        <v>1.1098421303374999</v>
      </c>
      <c r="L53" s="65">
        <f t="shared" si="2"/>
        <v>325.18374418888749</v>
      </c>
      <c r="M53" s="65">
        <f t="shared" si="3"/>
        <v>390.220493026665</v>
      </c>
    </row>
    <row r="54" spans="1:14" ht="50.25" customHeight="1" x14ac:dyDescent="0.25">
      <c r="A54" s="20">
        <v>32</v>
      </c>
      <c r="B54" s="71" t="s">
        <v>138</v>
      </c>
      <c r="C54" s="225" t="s">
        <v>61</v>
      </c>
      <c r="D54" s="226"/>
      <c r="E54" s="226"/>
      <c r="F54" s="227"/>
      <c r="G54" s="51" t="s">
        <v>151</v>
      </c>
      <c r="H54" s="63">
        <v>1</v>
      </c>
      <c r="I54" s="86">
        <f>647</f>
        <v>647</v>
      </c>
      <c r="J54" s="121">
        <f t="shared" si="0"/>
        <v>647</v>
      </c>
      <c r="K54" s="66">
        <f t="shared" si="1"/>
        <v>1.1098421303374999</v>
      </c>
      <c r="L54" s="65">
        <f t="shared" si="2"/>
        <v>718.06785832836249</v>
      </c>
      <c r="M54" s="65">
        <f t="shared" si="3"/>
        <v>861.68142999403494</v>
      </c>
    </row>
    <row r="55" spans="1:14" ht="34.5" customHeight="1" x14ac:dyDescent="0.25">
      <c r="A55" s="20">
        <v>33</v>
      </c>
      <c r="B55" s="71" t="s">
        <v>157</v>
      </c>
      <c r="C55" s="225" t="s">
        <v>175</v>
      </c>
      <c r="D55" s="226"/>
      <c r="E55" s="226"/>
      <c r="F55" s="227"/>
      <c r="G55" s="51" t="s">
        <v>176</v>
      </c>
      <c r="H55" s="63">
        <v>1</v>
      </c>
      <c r="I55" s="86">
        <f>483</f>
        <v>483</v>
      </c>
      <c r="J55" s="121">
        <f t="shared" si="0"/>
        <v>483</v>
      </c>
      <c r="K55" s="66">
        <f t="shared" si="1"/>
        <v>1.1098421303374999</v>
      </c>
      <c r="L55" s="65">
        <f t="shared" si="2"/>
        <v>536.05374895301247</v>
      </c>
      <c r="M55" s="65">
        <f t="shared" si="3"/>
        <v>643.26449874361492</v>
      </c>
    </row>
    <row r="56" spans="1:14" ht="27.75" customHeight="1" x14ac:dyDescent="0.25">
      <c r="A56" s="20">
        <v>34</v>
      </c>
      <c r="B56" s="71" t="s">
        <v>230</v>
      </c>
      <c r="C56" s="225" t="s">
        <v>62</v>
      </c>
      <c r="D56" s="226"/>
      <c r="E56" s="226"/>
      <c r="F56" s="227"/>
      <c r="G56" s="51" t="s">
        <v>145</v>
      </c>
      <c r="H56" s="67">
        <v>5.5199999999999999E-2</v>
      </c>
      <c r="I56" s="86">
        <f>2336/H56</f>
        <v>42318.840579710144</v>
      </c>
      <c r="J56" s="121">
        <f t="shared" si="0"/>
        <v>2336</v>
      </c>
      <c r="K56" s="66">
        <f t="shared" si="1"/>
        <v>1.1098421303374999</v>
      </c>
      <c r="L56" s="65">
        <f t="shared" si="2"/>
        <v>2592.5912164683996</v>
      </c>
      <c r="M56" s="65">
        <f t="shared" si="3"/>
        <v>3111.1094597620795</v>
      </c>
    </row>
    <row r="57" spans="1:14" s="23" customFormat="1" ht="23.25" customHeight="1" x14ac:dyDescent="0.25">
      <c r="A57" s="22">
        <v>35</v>
      </c>
      <c r="B57" s="71" t="s">
        <v>158</v>
      </c>
      <c r="C57" s="225" t="s">
        <v>177</v>
      </c>
      <c r="D57" s="226"/>
      <c r="E57" s="226"/>
      <c r="F57" s="227"/>
      <c r="G57" s="52" t="s">
        <v>145</v>
      </c>
      <c r="H57" s="67">
        <v>5.5199999999999999E-2</v>
      </c>
      <c r="I57" s="70">
        <f>3750/H57</f>
        <v>67934.782608695648</v>
      </c>
      <c r="J57" s="121">
        <f t="shared" si="0"/>
        <v>3749.9999999999995</v>
      </c>
      <c r="K57" s="66">
        <f t="shared" si="1"/>
        <v>1.1098421303374999</v>
      </c>
      <c r="L57" s="65">
        <f t="shared" si="2"/>
        <v>4161.9079887656244</v>
      </c>
      <c r="M57" s="65">
        <f t="shared" si="3"/>
        <v>4994.2895865187493</v>
      </c>
    </row>
    <row r="58" spans="1:14" ht="76.5" customHeight="1" x14ac:dyDescent="0.25">
      <c r="A58" s="22">
        <v>36</v>
      </c>
      <c r="B58" s="71" t="s">
        <v>63</v>
      </c>
      <c r="C58" s="225" t="s">
        <v>9</v>
      </c>
      <c r="D58" s="226"/>
      <c r="E58" s="226"/>
      <c r="F58" s="227"/>
      <c r="G58" s="51" t="s">
        <v>178</v>
      </c>
      <c r="H58" s="63">
        <v>1</v>
      </c>
      <c r="I58" s="70">
        <f>6957</f>
        <v>6957</v>
      </c>
      <c r="J58" s="121">
        <f t="shared" si="0"/>
        <v>6957</v>
      </c>
      <c r="K58" s="66">
        <f t="shared" si="1"/>
        <v>1.1098421303374999</v>
      </c>
      <c r="L58" s="65">
        <f t="shared" si="2"/>
        <v>7721.1717007579864</v>
      </c>
      <c r="M58" s="65">
        <f t="shared" si="3"/>
        <v>9265.4060409095837</v>
      </c>
    </row>
    <row r="59" spans="1:14" ht="45.75" customHeight="1" x14ac:dyDescent="0.25">
      <c r="A59" s="22">
        <v>37</v>
      </c>
      <c r="B59" s="71" t="s">
        <v>231</v>
      </c>
      <c r="C59" s="225" t="s">
        <v>64</v>
      </c>
      <c r="D59" s="226"/>
      <c r="E59" s="226"/>
      <c r="F59" s="227"/>
      <c r="G59" s="51" t="s">
        <v>151</v>
      </c>
      <c r="H59" s="63">
        <v>1</v>
      </c>
      <c r="I59" s="70">
        <f>4449</f>
        <v>4449</v>
      </c>
      <c r="J59" s="121">
        <f t="shared" si="0"/>
        <v>4449</v>
      </c>
      <c r="K59" s="66">
        <f t="shared" si="1"/>
        <v>1.1098421303374999</v>
      </c>
      <c r="L59" s="65">
        <f t="shared" si="2"/>
        <v>4937.6876378715369</v>
      </c>
      <c r="M59" s="65">
        <f t="shared" si="3"/>
        <v>5925.2251654458441</v>
      </c>
    </row>
    <row r="60" spans="1:14" ht="30.75" customHeight="1" x14ac:dyDescent="0.25">
      <c r="A60" s="22">
        <v>38</v>
      </c>
      <c r="B60" s="71" t="s">
        <v>159</v>
      </c>
      <c r="C60" s="225" t="s">
        <v>65</v>
      </c>
      <c r="D60" s="226"/>
      <c r="E60" s="226"/>
      <c r="F60" s="227"/>
      <c r="G60" s="51" t="s">
        <v>151</v>
      </c>
      <c r="H60" s="63">
        <v>1</v>
      </c>
      <c r="I60" s="70">
        <f>1372</f>
        <v>1372</v>
      </c>
      <c r="J60" s="121">
        <f t="shared" si="0"/>
        <v>1372</v>
      </c>
      <c r="K60" s="66">
        <f t="shared" si="1"/>
        <v>1.1098421303374999</v>
      </c>
      <c r="L60" s="65">
        <f t="shared" si="2"/>
        <v>1522.7034028230498</v>
      </c>
      <c r="M60" s="65">
        <f t="shared" si="3"/>
        <v>1827.2440833876597</v>
      </c>
    </row>
    <row r="61" spans="1:14" ht="30" customHeight="1" x14ac:dyDescent="0.25">
      <c r="A61" s="22">
        <v>39</v>
      </c>
      <c r="B61" s="71" t="s">
        <v>160</v>
      </c>
      <c r="C61" s="225" t="s">
        <v>66</v>
      </c>
      <c r="D61" s="226"/>
      <c r="E61" s="226"/>
      <c r="F61" s="227"/>
      <c r="G61" s="51" t="s">
        <v>151</v>
      </c>
      <c r="H61" s="63">
        <v>1</v>
      </c>
      <c r="I61" s="70">
        <f>4015</f>
        <v>4015</v>
      </c>
      <c r="J61" s="121">
        <f t="shared" si="0"/>
        <v>4015</v>
      </c>
      <c r="K61" s="66">
        <f t="shared" si="1"/>
        <v>1.1098421303374999</v>
      </c>
      <c r="L61" s="65">
        <f t="shared" si="2"/>
        <v>4456.0161533050623</v>
      </c>
      <c r="M61" s="65">
        <f t="shared" si="3"/>
        <v>5347.2193839660749</v>
      </c>
    </row>
    <row r="62" spans="1:14" ht="43.5" customHeight="1" x14ac:dyDescent="0.25">
      <c r="A62" s="22">
        <v>40</v>
      </c>
      <c r="B62" s="71" t="s">
        <v>161</v>
      </c>
      <c r="C62" s="225" t="s">
        <v>67</v>
      </c>
      <c r="D62" s="226"/>
      <c r="E62" s="226"/>
      <c r="F62" s="227"/>
      <c r="G62" s="51" t="s">
        <v>151</v>
      </c>
      <c r="H62" s="63">
        <v>1</v>
      </c>
      <c r="I62" s="70">
        <f>5854</f>
        <v>5854</v>
      </c>
      <c r="J62" s="121">
        <f t="shared" si="0"/>
        <v>5854</v>
      </c>
      <c r="K62" s="66">
        <f t="shared" si="1"/>
        <v>1.1098421303374999</v>
      </c>
      <c r="L62" s="65">
        <f t="shared" si="2"/>
        <v>6497.0158309957242</v>
      </c>
      <c r="M62" s="65">
        <f t="shared" si="3"/>
        <v>7796.418997194869</v>
      </c>
    </row>
    <row r="63" spans="1:14" ht="24" customHeight="1" x14ac:dyDescent="0.25">
      <c r="A63" s="22">
        <v>41</v>
      </c>
      <c r="B63" s="71" t="s">
        <v>162</v>
      </c>
      <c r="C63" s="225" t="s">
        <v>238</v>
      </c>
      <c r="D63" s="226"/>
      <c r="E63" s="226"/>
      <c r="F63" s="227"/>
      <c r="G63" s="51" t="s">
        <v>151</v>
      </c>
      <c r="H63" s="63">
        <v>1</v>
      </c>
      <c r="I63" s="70">
        <f>1607</f>
        <v>1607</v>
      </c>
      <c r="J63" s="121">
        <f t="shared" si="0"/>
        <v>1607</v>
      </c>
      <c r="K63" s="66">
        <f t="shared" si="1"/>
        <v>1.1098421303374999</v>
      </c>
      <c r="L63" s="65">
        <f t="shared" si="2"/>
        <v>1783.5163034523623</v>
      </c>
      <c r="M63" s="65">
        <f t="shared" si="3"/>
        <v>2140.2195641428348</v>
      </c>
    </row>
    <row r="64" spans="1:14" ht="65.25" customHeight="1" x14ac:dyDescent="0.25">
      <c r="A64" s="22">
        <v>42</v>
      </c>
      <c r="B64" s="71" t="s">
        <v>163</v>
      </c>
      <c r="C64" s="225" t="s">
        <v>179</v>
      </c>
      <c r="D64" s="226"/>
      <c r="E64" s="226"/>
      <c r="F64" s="227"/>
      <c r="G64" s="51" t="s">
        <v>151</v>
      </c>
      <c r="H64" s="63">
        <v>1</v>
      </c>
      <c r="I64" s="70">
        <f>12129</f>
        <v>12129</v>
      </c>
      <c r="J64" s="121">
        <f t="shared" si="0"/>
        <v>12129</v>
      </c>
      <c r="K64" s="66">
        <f t="shared" si="1"/>
        <v>1.1098421303374999</v>
      </c>
      <c r="L64" s="65">
        <f t="shared" si="2"/>
        <v>13461.275198863535</v>
      </c>
      <c r="M64" s="65">
        <f t="shared" si="3"/>
        <v>16153.530238636242</v>
      </c>
    </row>
    <row r="65" spans="1:13" ht="20.25" customHeight="1" x14ac:dyDescent="0.25">
      <c r="A65" s="20">
        <v>43</v>
      </c>
      <c r="B65" s="71"/>
      <c r="C65" s="225" t="s">
        <v>180</v>
      </c>
      <c r="D65" s="226"/>
      <c r="E65" s="226"/>
      <c r="F65" s="227"/>
      <c r="G65" s="51" t="s">
        <v>151</v>
      </c>
      <c r="H65" s="63">
        <v>1</v>
      </c>
      <c r="I65" s="70">
        <f>760</f>
        <v>760</v>
      </c>
      <c r="J65" s="121">
        <f t="shared" si="0"/>
        <v>760</v>
      </c>
      <c r="K65" s="66">
        <f t="shared" si="1"/>
        <v>1.1098421303374999</v>
      </c>
      <c r="L65" s="65">
        <f t="shared" si="2"/>
        <v>843.48001905649994</v>
      </c>
      <c r="M65" s="65">
        <f t="shared" si="3"/>
        <v>1012.1760228677999</v>
      </c>
    </row>
    <row r="66" spans="1:13" ht="61.5" customHeight="1" x14ac:dyDescent="0.25">
      <c r="A66" s="20">
        <v>44</v>
      </c>
      <c r="B66" s="71" t="s">
        <v>164</v>
      </c>
      <c r="C66" s="225" t="s">
        <v>181</v>
      </c>
      <c r="D66" s="226"/>
      <c r="E66" s="226"/>
      <c r="F66" s="227"/>
      <c r="G66" s="51" t="s">
        <v>182</v>
      </c>
      <c r="H66" s="67">
        <v>3.1349999999999998</v>
      </c>
      <c r="I66" s="70">
        <f>137168/H66</f>
        <v>43753.748006379588</v>
      </c>
      <c r="J66" s="121">
        <f t="shared" si="0"/>
        <v>137168</v>
      </c>
      <c r="K66" s="66">
        <f t="shared" si="1"/>
        <v>1.1098421303374999</v>
      </c>
      <c r="L66" s="65">
        <f t="shared" si="2"/>
        <v>152234.82533413419</v>
      </c>
      <c r="M66" s="65">
        <f t="shared" si="3"/>
        <v>182681.79040096104</v>
      </c>
    </row>
    <row r="67" spans="1:13" ht="60.75" customHeight="1" x14ac:dyDescent="0.25">
      <c r="A67" s="20">
        <v>45</v>
      </c>
      <c r="B67" s="71" t="s">
        <v>165</v>
      </c>
      <c r="C67" s="225" t="s">
        <v>183</v>
      </c>
      <c r="D67" s="226"/>
      <c r="E67" s="226"/>
      <c r="F67" s="227"/>
      <c r="G67" s="51" t="s">
        <v>182</v>
      </c>
      <c r="H67" s="67">
        <v>3.1349999999999998</v>
      </c>
      <c r="I67" s="70">
        <f>109991/H67</f>
        <v>35084.848484848488</v>
      </c>
      <c r="J67" s="121">
        <f t="shared" si="0"/>
        <v>109991</v>
      </c>
      <c r="K67" s="66">
        <f t="shared" si="1"/>
        <v>1.1098421303374999</v>
      </c>
      <c r="L67" s="65">
        <f t="shared" si="2"/>
        <v>122072.64575795195</v>
      </c>
      <c r="M67" s="65">
        <f t="shared" si="3"/>
        <v>146487.17490954234</v>
      </c>
    </row>
    <row r="68" spans="1:13" ht="60.75" customHeight="1" x14ac:dyDescent="0.25">
      <c r="A68" s="20">
        <v>46</v>
      </c>
      <c r="B68" s="71" t="s">
        <v>166</v>
      </c>
      <c r="C68" s="225" t="s">
        <v>184</v>
      </c>
      <c r="D68" s="226"/>
      <c r="E68" s="226"/>
      <c r="F68" s="227"/>
      <c r="G68" s="16" t="s">
        <v>182</v>
      </c>
      <c r="H68" s="67">
        <v>3.1349999999999998</v>
      </c>
      <c r="I68" s="70">
        <f>181249/H68</f>
        <v>57814.673046251999</v>
      </c>
      <c r="J68" s="121">
        <f t="shared" si="0"/>
        <v>181249</v>
      </c>
      <c r="K68" s="66">
        <f t="shared" si="1"/>
        <v>1.1098421303374999</v>
      </c>
      <c r="L68" s="65">
        <f t="shared" si="2"/>
        <v>201157.77628154153</v>
      </c>
      <c r="M68" s="65">
        <f t="shared" si="3"/>
        <v>241389.33153784982</v>
      </c>
    </row>
    <row r="69" spans="1:13" ht="26.25" customHeight="1" x14ac:dyDescent="0.25">
      <c r="A69" s="20">
        <v>47</v>
      </c>
      <c r="B69" s="71" t="s">
        <v>167</v>
      </c>
      <c r="C69" s="225" t="s">
        <v>82</v>
      </c>
      <c r="D69" s="226"/>
      <c r="E69" s="226"/>
      <c r="F69" s="227"/>
      <c r="G69" s="16" t="s">
        <v>185</v>
      </c>
      <c r="H69" s="63">
        <v>1</v>
      </c>
      <c r="I69" s="70">
        <f>720</f>
        <v>720</v>
      </c>
      <c r="J69" s="121">
        <f t="shared" si="0"/>
        <v>720</v>
      </c>
      <c r="K69" s="66">
        <f t="shared" si="1"/>
        <v>1.1098421303374999</v>
      </c>
      <c r="L69" s="65">
        <f t="shared" si="2"/>
        <v>799.08633384299992</v>
      </c>
      <c r="M69" s="65">
        <f t="shared" si="3"/>
        <v>958.90360061159981</v>
      </c>
    </row>
    <row r="70" spans="1:13" x14ac:dyDescent="0.25">
      <c r="A70" s="20">
        <v>48</v>
      </c>
      <c r="B70" s="71" t="s">
        <v>263</v>
      </c>
      <c r="C70" s="225" t="s">
        <v>252</v>
      </c>
      <c r="D70" s="226"/>
      <c r="E70" s="226"/>
      <c r="F70" s="227"/>
      <c r="G70" s="16" t="s">
        <v>145</v>
      </c>
      <c r="H70" s="63">
        <v>2.23E-2</v>
      </c>
      <c r="I70" s="70">
        <f>1902/H70</f>
        <v>85291.479820627806</v>
      </c>
      <c r="J70" s="121">
        <f t="shared" si="0"/>
        <v>1902.0000000000002</v>
      </c>
      <c r="K70" s="66">
        <f t="shared" si="1"/>
        <v>1.1098421303374999</v>
      </c>
      <c r="L70" s="65">
        <f t="shared" si="2"/>
        <v>2110.9197319019249</v>
      </c>
      <c r="M70" s="65">
        <f t="shared" si="3"/>
        <v>2533.1036782823098</v>
      </c>
    </row>
    <row r="71" spans="1:13" x14ac:dyDescent="0.25">
      <c r="A71" s="20">
        <v>49</v>
      </c>
      <c r="B71" s="71" t="s">
        <v>263</v>
      </c>
      <c r="C71" s="225" t="s">
        <v>253</v>
      </c>
      <c r="D71" s="226"/>
      <c r="E71" s="226"/>
      <c r="F71" s="227"/>
      <c r="G71" s="150" t="s">
        <v>145</v>
      </c>
      <c r="H71" s="63">
        <v>1.8800000000000001E-2</v>
      </c>
      <c r="I71" s="70">
        <f>1604/H71</f>
        <v>85319.148936170212</v>
      </c>
      <c r="J71" s="121">
        <f t="shared" si="0"/>
        <v>1604</v>
      </c>
      <c r="K71" s="66">
        <f t="shared" si="1"/>
        <v>1.1098421303374999</v>
      </c>
      <c r="L71" s="65">
        <f t="shared" si="2"/>
        <v>1780.1867770613499</v>
      </c>
      <c r="M71" s="65">
        <f t="shared" si="3"/>
        <v>2136.2241324736196</v>
      </c>
    </row>
    <row r="72" spans="1:13" x14ac:dyDescent="0.25">
      <c r="A72" s="20">
        <v>50</v>
      </c>
      <c r="B72" s="71" t="s">
        <v>263</v>
      </c>
      <c r="C72" s="225" t="s">
        <v>254</v>
      </c>
      <c r="D72" s="226"/>
      <c r="E72" s="226"/>
      <c r="F72" s="227"/>
      <c r="G72" s="150" t="s">
        <v>145</v>
      </c>
      <c r="H72" s="63">
        <v>6.7000000000000002E-3</v>
      </c>
      <c r="I72" s="70">
        <f>572/H72</f>
        <v>85373.13432835821</v>
      </c>
      <c r="J72" s="121">
        <f t="shared" si="0"/>
        <v>572</v>
      </c>
      <c r="K72" s="66">
        <f t="shared" si="1"/>
        <v>1.1098421303374999</v>
      </c>
      <c r="L72" s="65">
        <f t="shared" si="2"/>
        <v>634.82969855304998</v>
      </c>
      <c r="M72" s="65">
        <f t="shared" si="3"/>
        <v>761.79563826365995</v>
      </c>
    </row>
    <row r="73" spans="1:13" x14ac:dyDescent="0.25">
      <c r="A73" s="20">
        <v>51</v>
      </c>
      <c r="B73" s="71" t="s">
        <v>263</v>
      </c>
      <c r="C73" s="225" t="s">
        <v>255</v>
      </c>
      <c r="D73" s="226"/>
      <c r="E73" s="226"/>
      <c r="F73" s="227"/>
      <c r="G73" s="150" t="s">
        <v>145</v>
      </c>
      <c r="H73" s="63">
        <v>3.8999999999999998E-3</v>
      </c>
      <c r="I73" s="70">
        <f>333/H73</f>
        <v>85384.61538461539</v>
      </c>
      <c r="J73" s="121">
        <f t="shared" si="0"/>
        <v>333</v>
      </c>
      <c r="K73" s="66">
        <f t="shared" si="1"/>
        <v>1.1098421303374999</v>
      </c>
      <c r="L73" s="65">
        <f t="shared" si="2"/>
        <v>369.57742940238745</v>
      </c>
      <c r="M73" s="65">
        <f t="shared" si="3"/>
        <v>443.49291528286494</v>
      </c>
    </row>
    <row r="74" spans="1:13" x14ac:dyDescent="0.25">
      <c r="A74" s="20">
        <v>52</v>
      </c>
      <c r="B74" s="71" t="s">
        <v>263</v>
      </c>
      <c r="C74" s="225" t="s">
        <v>256</v>
      </c>
      <c r="D74" s="226"/>
      <c r="E74" s="226"/>
      <c r="F74" s="227"/>
      <c r="G74" s="150" t="s">
        <v>145</v>
      </c>
      <c r="H74" s="63">
        <v>3.3000000000000002E-2</v>
      </c>
      <c r="I74" s="70">
        <f>2815/H74</f>
        <v>85303.030303030304</v>
      </c>
      <c r="J74" s="121">
        <f t="shared" ref="J74" si="4">H74*I74</f>
        <v>2815</v>
      </c>
      <c r="K74" s="66">
        <f t="shared" si="1"/>
        <v>1.1098421303374999</v>
      </c>
      <c r="L74" s="65">
        <f t="shared" ref="L74" si="5">J74*K74</f>
        <v>3124.2055969000621</v>
      </c>
      <c r="M74" s="65">
        <f t="shared" ref="M74" si="6">L74*1.2</f>
        <v>3749.0467162800742</v>
      </c>
    </row>
    <row r="75" spans="1:13" x14ac:dyDescent="0.25">
      <c r="A75" s="20">
        <v>52</v>
      </c>
      <c r="B75" s="71" t="s">
        <v>263</v>
      </c>
      <c r="C75" s="225" t="s">
        <v>257</v>
      </c>
      <c r="D75" s="226"/>
      <c r="E75" s="226"/>
      <c r="F75" s="227"/>
      <c r="G75" s="150" t="s">
        <v>145</v>
      </c>
      <c r="H75" s="63">
        <v>1.9E-3</v>
      </c>
      <c r="I75" s="70">
        <f>162/H75</f>
        <v>85263.15789473684</v>
      </c>
      <c r="J75" s="121">
        <f t="shared" si="0"/>
        <v>162</v>
      </c>
      <c r="K75" s="66">
        <f t="shared" si="1"/>
        <v>1.1098421303374999</v>
      </c>
      <c r="L75" s="65">
        <f t="shared" si="2"/>
        <v>179.79442511467499</v>
      </c>
      <c r="M75" s="65">
        <f t="shared" si="3"/>
        <v>215.75331013760999</v>
      </c>
    </row>
    <row r="76" spans="1:13" x14ac:dyDescent="0.25">
      <c r="A76" s="20">
        <v>53</v>
      </c>
      <c r="B76" s="71"/>
      <c r="C76" s="225" t="s">
        <v>191</v>
      </c>
      <c r="D76" s="226"/>
      <c r="E76" s="226"/>
      <c r="F76" s="227"/>
      <c r="G76" s="16" t="s">
        <v>186</v>
      </c>
      <c r="H76" s="63">
        <v>1</v>
      </c>
      <c r="I76" s="70">
        <f>50</f>
        <v>50</v>
      </c>
      <c r="J76" s="121">
        <f t="shared" si="0"/>
        <v>50</v>
      </c>
      <c r="K76" s="66">
        <f t="shared" si="1"/>
        <v>1.1098421303374999</v>
      </c>
      <c r="L76" s="65">
        <f t="shared" si="2"/>
        <v>55.492106516874998</v>
      </c>
      <c r="M76" s="65">
        <f t="shared" si="3"/>
        <v>66.590527820249989</v>
      </c>
    </row>
    <row r="77" spans="1:13" x14ac:dyDescent="0.25">
      <c r="A77" s="20">
        <v>54</v>
      </c>
      <c r="B77" s="71"/>
      <c r="C77" s="225" t="s">
        <v>190</v>
      </c>
      <c r="D77" s="226"/>
      <c r="E77" s="226"/>
      <c r="F77" s="227"/>
      <c r="G77" s="16" t="s">
        <v>186</v>
      </c>
      <c r="H77" s="63">
        <v>1</v>
      </c>
      <c r="I77" s="70">
        <f>42</f>
        <v>42</v>
      </c>
      <c r="J77" s="121">
        <f t="shared" si="0"/>
        <v>42</v>
      </c>
      <c r="K77" s="66">
        <f t="shared" si="1"/>
        <v>1.1098421303374999</v>
      </c>
      <c r="L77" s="65">
        <f t="shared" si="2"/>
        <v>46.613369474174995</v>
      </c>
      <c r="M77" s="65">
        <f t="shared" si="3"/>
        <v>55.936043369009994</v>
      </c>
    </row>
    <row r="78" spans="1:13" x14ac:dyDescent="0.25">
      <c r="A78" s="20">
        <v>55</v>
      </c>
      <c r="B78" s="71"/>
      <c r="C78" s="225" t="s">
        <v>189</v>
      </c>
      <c r="D78" s="226"/>
      <c r="E78" s="226"/>
      <c r="F78" s="227"/>
      <c r="G78" s="16" t="s">
        <v>186</v>
      </c>
      <c r="H78" s="63">
        <v>1</v>
      </c>
      <c r="I78" s="70">
        <f>942</f>
        <v>942</v>
      </c>
      <c r="J78" s="121">
        <f t="shared" si="0"/>
        <v>942</v>
      </c>
      <c r="K78" s="66">
        <f t="shared" si="1"/>
        <v>1.1098421303374999</v>
      </c>
      <c r="L78" s="65">
        <f t="shared" si="2"/>
        <v>1045.4712867779249</v>
      </c>
      <c r="M78" s="65">
        <f t="shared" si="3"/>
        <v>1254.5655441335098</v>
      </c>
    </row>
    <row r="79" spans="1:13" x14ac:dyDescent="0.25">
      <c r="A79" s="20">
        <v>56</v>
      </c>
      <c r="B79" s="71"/>
      <c r="C79" s="225" t="s">
        <v>188</v>
      </c>
      <c r="D79" s="226"/>
      <c r="E79" s="226"/>
      <c r="F79" s="227"/>
      <c r="G79" s="16" t="s">
        <v>186</v>
      </c>
      <c r="H79" s="63">
        <v>1</v>
      </c>
      <c r="I79" s="70">
        <f>1763</f>
        <v>1763</v>
      </c>
      <c r="J79" s="121">
        <f t="shared" si="0"/>
        <v>1763</v>
      </c>
      <c r="K79" s="66">
        <f t="shared" si="1"/>
        <v>1.1098421303374999</v>
      </c>
      <c r="L79" s="65">
        <f t="shared" si="2"/>
        <v>1956.6516757850122</v>
      </c>
      <c r="M79" s="65">
        <f t="shared" si="3"/>
        <v>2347.9820109420148</v>
      </c>
    </row>
    <row r="80" spans="1:13" s="24" customFormat="1" x14ac:dyDescent="0.25">
      <c r="A80" s="22">
        <v>57</v>
      </c>
      <c r="B80" s="71"/>
      <c r="C80" s="225" t="s">
        <v>258</v>
      </c>
      <c r="D80" s="226"/>
      <c r="E80" s="226"/>
      <c r="F80" s="227"/>
      <c r="G80" s="57" t="s">
        <v>186</v>
      </c>
      <c r="H80" s="63">
        <v>1</v>
      </c>
      <c r="I80" s="70">
        <f>622</f>
        <v>622</v>
      </c>
      <c r="J80" s="121">
        <f t="shared" si="0"/>
        <v>622</v>
      </c>
      <c r="K80" s="66">
        <f t="shared" si="1"/>
        <v>1.1098421303374999</v>
      </c>
      <c r="L80" s="65">
        <f t="shared" si="2"/>
        <v>690.32180506992495</v>
      </c>
      <c r="M80" s="65">
        <f t="shared" si="3"/>
        <v>828.38616608390987</v>
      </c>
    </row>
    <row r="81" spans="1:21" s="24" customFormat="1" x14ac:dyDescent="0.25">
      <c r="A81" s="22">
        <v>58</v>
      </c>
      <c r="B81" s="71"/>
      <c r="C81" s="225" t="s">
        <v>187</v>
      </c>
      <c r="D81" s="226"/>
      <c r="E81" s="226"/>
      <c r="F81" s="227"/>
      <c r="G81" s="57" t="s">
        <v>186</v>
      </c>
      <c r="H81" s="63">
        <v>57</v>
      </c>
      <c r="I81" s="70">
        <f>24121/H81</f>
        <v>423.17543859649123</v>
      </c>
      <c r="J81" s="121">
        <f t="shared" si="0"/>
        <v>24121</v>
      </c>
      <c r="K81" s="66">
        <f t="shared" si="1"/>
        <v>1.1098421303374999</v>
      </c>
      <c r="L81" s="65">
        <f t="shared" si="2"/>
        <v>26770.502025870835</v>
      </c>
      <c r="M81" s="65">
        <f t="shared" si="3"/>
        <v>32124.602431045001</v>
      </c>
    </row>
    <row r="82" spans="1:21" s="24" customFormat="1" x14ac:dyDescent="0.25">
      <c r="A82" s="22">
        <v>59</v>
      </c>
      <c r="B82" s="71"/>
      <c r="C82" s="225" t="s">
        <v>192</v>
      </c>
      <c r="D82" s="226"/>
      <c r="E82" s="226"/>
      <c r="F82" s="227"/>
      <c r="G82" s="57" t="s">
        <v>193</v>
      </c>
      <c r="H82" s="67">
        <v>19</v>
      </c>
      <c r="I82" s="70">
        <f>7886/H82</f>
        <v>415.05263157894734</v>
      </c>
      <c r="J82" s="121">
        <f t="shared" si="0"/>
        <v>7885.9999999999991</v>
      </c>
      <c r="K82" s="66">
        <f t="shared" si="1"/>
        <v>1.1098421303374999</v>
      </c>
      <c r="L82" s="65">
        <f t="shared" si="2"/>
        <v>8752.2150398415233</v>
      </c>
      <c r="M82" s="65">
        <f t="shared" si="3"/>
        <v>10502.658047809828</v>
      </c>
    </row>
    <row r="83" spans="1:21" s="24" customFormat="1" x14ac:dyDescent="0.25">
      <c r="A83" s="22">
        <v>60</v>
      </c>
      <c r="B83" s="71"/>
      <c r="C83" s="225" t="s">
        <v>194</v>
      </c>
      <c r="D83" s="226"/>
      <c r="E83" s="226"/>
      <c r="F83" s="227"/>
      <c r="G83" s="57" t="s">
        <v>186</v>
      </c>
      <c r="H83" s="63">
        <v>48</v>
      </c>
      <c r="I83" s="70">
        <f>31385/H83</f>
        <v>653.85416666666663</v>
      </c>
      <c r="J83" s="121">
        <f t="shared" si="0"/>
        <v>31385</v>
      </c>
      <c r="K83" s="66">
        <f t="shared" si="1"/>
        <v>1.1098421303374999</v>
      </c>
      <c r="L83" s="65">
        <f t="shared" si="2"/>
        <v>34832.395260642435</v>
      </c>
      <c r="M83" s="65">
        <f t="shared" si="3"/>
        <v>41798.874312770924</v>
      </c>
    </row>
    <row r="84" spans="1:21" s="24" customFormat="1" x14ac:dyDescent="0.25">
      <c r="A84" s="22">
        <v>61</v>
      </c>
      <c r="B84" s="71" t="s">
        <v>168</v>
      </c>
      <c r="C84" s="225" t="s">
        <v>200</v>
      </c>
      <c r="D84" s="226"/>
      <c r="E84" s="226"/>
      <c r="F84" s="227"/>
      <c r="G84" s="57" t="s">
        <v>186</v>
      </c>
      <c r="H84" s="63">
        <v>48</v>
      </c>
      <c r="I84" s="70">
        <f>25310/H84</f>
        <v>527.29166666666663</v>
      </c>
      <c r="J84" s="121">
        <f t="shared" si="0"/>
        <v>25310</v>
      </c>
      <c r="K84" s="66">
        <f t="shared" si="1"/>
        <v>1.1098421303374999</v>
      </c>
      <c r="L84" s="65">
        <f t="shared" si="2"/>
        <v>28090.104318842121</v>
      </c>
      <c r="M84" s="65">
        <f t="shared" si="3"/>
        <v>33708.125182610544</v>
      </c>
    </row>
    <row r="85" spans="1:21" s="24" customFormat="1" x14ac:dyDescent="0.25">
      <c r="A85" s="22">
        <v>62</v>
      </c>
      <c r="B85" s="71" t="s">
        <v>169</v>
      </c>
      <c r="C85" s="225" t="s">
        <v>199</v>
      </c>
      <c r="D85" s="226"/>
      <c r="E85" s="226"/>
      <c r="F85" s="227"/>
      <c r="G85" s="57" t="s">
        <v>186</v>
      </c>
      <c r="H85" s="63">
        <v>48</v>
      </c>
      <c r="I85" s="70">
        <f>9375/H85</f>
        <v>195.3125</v>
      </c>
      <c r="J85" s="121">
        <f t="shared" si="0"/>
        <v>9375</v>
      </c>
      <c r="K85" s="66">
        <f t="shared" si="1"/>
        <v>1.1098421303374999</v>
      </c>
      <c r="L85" s="65">
        <f t="shared" si="2"/>
        <v>10404.769971914062</v>
      </c>
      <c r="M85" s="65">
        <f t="shared" si="3"/>
        <v>12485.723966296873</v>
      </c>
    </row>
    <row r="86" spans="1:21" s="24" customFormat="1" x14ac:dyDescent="0.25">
      <c r="A86" s="22">
        <v>63</v>
      </c>
      <c r="B86" s="71" t="s">
        <v>170</v>
      </c>
      <c r="C86" s="225" t="s">
        <v>198</v>
      </c>
      <c r="D86" s="226"/>
      <c r="E86" s="226"/>
      <c r="F86" s="227"/>
      <c r="G86" s="57" t="s">
        <v>186</v>
      </c>
      <c r="H86" s="63">
        <v>48</v>
      </c>
      <c r="I86" s="70">
        <f>6294/H86</f>
        <v>131.125</v>
      </c>
      <c r="J86" s="121">
        <f t="shared" si="0"/>
        <v>6294</v>
      </c>
      <c r="K86" s="66">
        <f t="shared" si="1"/>
        <v>1.1098421303374999</v>
      </c>
      <c r="L86" s="65">
        <f t="shared" si="2"/>
        <v>6985.3463683442242</v>
      </c>
      <c r="M86" s="65">
        <f t="shared" si="3"/>
        <v>8382.4156420130694</v>
      </c>
    </row>
    <row r="87" spans="1:21" s="24" customFormat="1" x14ac:dyDescent="0.25">
      <c r="A87" s="22">
        <v>64</v>
      </c>
      <c r="B87" s="71" t="s">
        <v>171</v>
      </c>
      <c r="C87" s="225" t="s">
        <v>197</v>
      </c>
      <c r="D87" s="226"/>
      <c r="E87" s="226"/>
      <c r="F87" s="227"/>
      <c r="G87" s="57" t="s">
        <v>186</v>
      </c>
      <c r="H87" s="63">
        <v>48</v>
      </c>
      <c r="I87" s="70">
        <f>4086/H87</f>
        <v>85.125</v>
      </c>
      <c r="J87" s="121">
        <f t="shared" si="0"/>
        <v>4086</v>
      </c>
      <c r="K87" s="66">
        <f t="shared" si="1"/>
        <v>1.1098421303374999</v>
      </c>
      <c r="L87" s="65">
        <f t="shared" si="2"/>
        <v>4534.8149445590243</v>
      </c>
      <c r="M87" s="65">
        <f t="shared" si="3"/>
        <v>5441.7779334708293</v>
      </c>
    </row>
    <row r="88" spans="1:21" s="24" customFormat="1" x14ac:dyDescent="0.25">
      <c r="A88" s="22">
        <v>65</v>
      </c>
      <c r="B88" s="71"/>
      <c r="C88" s="225" t="s">
        <v>196</v>
      </c>
      <c r="D88" s="226"/>
      <c r="E88" s="226"/>
      <c r="F88" s="227"/>
      <c r="G88" s="57" t="s">
        <v>186</v>
      </c>
      <c r="H88" s="63">
        <v>1</v>
      </c>
      <c r="I88" s="70">
        <f>7258/H88</f>
        <v>7258</v>
      </c>
      <c r="J88" s="121">
        <f t="shared" si="0"/>
        <v>7258</v>
      </c>
      <c r="K88" s="66">
        <f t="shared" ref="K88:K89" si="7">1.0565*1.034965*1.015</f>
        <v>1.1098421303374999</v>
      </c>
      <c r="L88" s="65">
        <f t="shared" si="2"/>
        <v>8055.2341819895746</v>
      </c>
      <c r="M88" s="65">
        <f t="shared" si="3"/>
        <v>9666.2810183874899</v>
      </c>
    </row>
    <row r="89" spans="1:21" s="24" customFormat="1" ht="32.25" customHeight="1" x14ac:dyDescent="0.25">
      <c r="A89" s="22">
        <v>66</v>
      </c>
      <c r="B89" s="71" t="s">
        <v>172</v>
      </c>
      <c r="C89" s="225" t="s">
        <v>195</v>
      </c>
      <c r="D89" s="226"/>
      <c r="E89" s="226"/>
      <c r="F89" s="227"/>
      <c r="G89" s="57" t="s">
        <v>145</v>
      </c>
      <c r="H89" s="67">
        <v>6.7000000000000004E-2</v>
      </c>
      <c r="I89" s="70">
        <f>3781/H89</f>
        <v>56432.835820895518</v>
      </c>
      <c r="J89" s="121">
        <f t="shared" ref="J89" si="8">H89*I89</f>
        <v>3781</v>
      </c>
      <c r="K89" s="66">
        <f t="shared" si="7"/>
        <v>1.1098421303374999</v>
      </c>
      <c r="L89" s="65">
        <f t="shared" ref="L89" si="9">J89*K89</f>
        <v>4196.3130948060871</v>
      </c>
      <c r="M89" s="65">
        <f t="shared" ref="M89" si="10">L89*1.2</f>
        <v>5035.5757137673045</v>
      </c>
    </row>
    <row r="90" spans="1:21" x14ac:dyDescent="0.25">
      <c r="A90" s="25" t="s">
        <v>69</v>
      </c>
      <c r="B90" s="72"/>
      <c r="C90" s="73"/>
      <c r="D90" s="73"/>
      <c r="E90" s="73"/>
      <c r="F90" s="73"/>
      <c r="G90" s="73"/>
      <c r="H90" s="73"/>
      <c r="I90" s="74"/>
      <c r="J90" s="156">
        <f>SUM(J23:J89)</f>
        <v>766899.33000000007</v>
      </c>
      <c r="K90" s="73"/>
      <c r="L90" s="87"/>
      <c r="M90" s="88">
        <f>SUM(M23:M89)</f>
        <v>1021321.204611991</v>
      </c>
      <c r="N90" s="28"/>
      <c r="O90" s="6"/>
      <c r="P90" s="4"/>
      <c r="Q90" s="3"/>
      <c r="R90" s="4"/>
      <c r="S90" s="3"/>
      <c r="T90" s="3"/>
      <c r="U90" s="5"/>
    </row>
    <row r="91" spans="1:21" x14ac:dyDescent="0.25">
      <c r="A91" s="26"/>
      <c r="B91" s="246" t="s">
        <v>70</v>
      </c>
      <c r="C91" s="246"/>
      <c r="D91" s="246"/>
      <c r="E91" s="246"/>
      <c r="F91" s="246"/>
      <c r="G91" s="75"/>
      <c r="H91" s="75"/>
      <c r="I91" s="76"/>
      <c r="J91" s="134"/>
      <c r="K91" s="75"/>
      <c r="L91" s="27"/>
      <c r="M91" s="27"/>
    </row>
    <row r="92" spans="1:21" ht="21" customHeight="1" x14ac:dyDescent="0.25">
      <c r="A92" s="19">
        <v>1</v>
      </c>
      <c r="B92" s="247" t="s">
        <v>99</v>
      </c>
      <c r="C92" s="248"/>
      <c r="D92" s="248"/>
      <c r="E92" s="248"/>
      <c r="F92" s="249"/>
      <c r="G92" s="51" t="s">
        <v>68</v>
      </c>
      <c r="H92" s="51">
        <v>1</v>
      </c>
      <c r="I92" s="61"/>
      <c r="J92" s="135"/>
      <c r="K92" s="60"/>
      <c r="L92" s="88"/>
      <c r="M92" s="89">
        <f>M27+M24+M64+M69*3+M70+M75</f>
        <v>29247.891629210204</v>
      </c>
      <c r="N92" s="250"/>
      <c r="O92" s="250"/>
      <c r="P92" s="250"/>
      <c r="Q92" s="250"/>
      <c r="R92" s="250"/>
      <c r="S92" s="250"/>
      <c r="T92" s="250"/>
      <c r="U92" s="250"/>
    </row>
    <row r="93" spans="1:21" ht="15" customHeight="1" x14ac:dyDescent="0.25">
      <c r="A93" s="19">
        <v>2</v>
      </c>
      <c r="B93" s="251" t="s">
        <v>100</v>
      </c>
      <c r="C93" s="252"/>
      <c r="D93" s="252"/>
      <c r="E93" s="252"/>
      <c r="F93" s="253"/>
      <c r="G93" s="51" t="s">
        <v>68</v>
      </c>
      <c r="H93" s="51">
        <v>1</v>
      </c>
      <c r="I93" s="61"/>
      <c r="J93" s="135"/>
      <c r="K93" s="60"/>
      <c r="L93" s="88"/>
      <c r="M93" s="88">
        <f>M28+M24*2+M64*2+M65+M69*2*3+M71+M72</f>
        <v>57482.275424996202</v>
      </c>
      <c r="N93" s="254"/>
      <c r="O93" s="254"/>
      <c r="P93" s="254"/>
      <c r="Q93" s="254"/>
    </row>
    <row r="94" spans="1:21" x14ac:dyDescent="0.25">
      <c r="A94" s="19">
        <v>3</v>
      </c>
      <c r="B94" s="243" t="s">
        <v>101</v>
      </c>
      <c r="C94" s="244"/>
      <c r="D94" s="244"/>
      <c r="E94" s="244"/>
      <c r="F94" s="245"/>
      <c r="G94" s="51" t="s">
        <v>68</v>
      </c>
      <c r="H94" s="51">
        <v>1</v>
      </c>
      <c r="I94" s="61"/>
      <c r="J94" s="135"/>
      <c r="K94" s="60"/>
      <c r="L94" s="88"/>
      <c r="M94" s="88">
        <f>M29+M24*3+M64*3+M65*2+M69*3*3+M73+M74</f>
        <v>87131.042031684308</v>
      </c>
    </row>
    <row r="95" spans="1:21" ht="18" customHeight="1" x14ac:dyDescent="0.25">
      <c r="A95" s="19">
        <v>4</v>
      </c>
      <c r="B95" s="240" t="s">
        <v>103</v>
      </c>
      <c r="C95" s="241"/>
      <c r="D95" s="241"/>
      <c r="E95" s="241"/>
      <c r="F95" s="242"/>
      <c r="G95" s="51" t="s">
        <v>68</v>
      </c>
      <c r="H95" s="51">
        <v>1</v>
      </c>
      <c r="I95" s="61"/>
      <c r="J95" s="135"/>
      <c r="K95" s="60"/>
      <c r="L95" s="88"/>
      <c r="M95" s="88">
        <f>M25*11+M26*8+M66+SUM(M78:M87)</f>
        <v>341580.10788564151</v>
      </c>
      <c r="P95" s="28"/>
    </row>
    <row r="96" spans="1:21" ht="18" customHeight="1" x14ac:dyDescent="0.25">
      <c r="A96" s="19">
        <v>5</v>
      </c>
      <c r="B96" s="240" t="s">
        <v>104</v>
      </c>
      <c r="C96" s="241"/>
      <c r="D96" s="241"/>
      <c r="E96" s="241"/>
      <c r="F96" s="242"/>
      <c r="G96" s="51" t="s">
        <v>68</v>
      </c>
      <c r="H96" s="51">
        <v>1</v>
      </c>
      <c r="I96" s="61"/>
      <c r="J96" s="135"/>
      <c r="K96" s="60"/>
      <c r="L96" s="88"/>
      <c r="M96" s="88">
        <f>M25*11+M26*8+M67+SUM(M78:M87)</f>
        <v>305385.49239422288</v>
      </c>
    </row>
    <row r="97" spans="1:16" ht="18" customHeight="1" x14ac:dyDescent="0.25">
      <c r="A97" s="19">
        <v>6</v>
      </c>
      <c r="B97" s="240" t="s">
        <v>105</v>
      </c>
      <c r="C97" s="241"/>
      <c r="D97" s="241"/>
      <c r="E97" s="241"/>
      <c r="F97" s="242"/>
      <c r="G97" s="51" t="s">
        <v>68</v>
      </c>
      <c r="H97" s="51">
        <v>1</v>
      </c>
      <c r="I97" s="61"/>
      <c r="J97" s="135"/>
      <c r="K97" s="60"/>
      <c r="L97" s="88"/>
      <c r="M97" s="88">
        <f>M25*11+M26*8+M68+SUM(M78:M87)</f>
        <v>400287.6490225303</v>
      </c>
    </row>
    <row r="98" spans="1:16" ht="18" customHeight="1" x14ac:dyDescent="0.25">
      <c r="A98" s="19">
        <v>7</v>
      </c>
      <c r="B98" s="240" t="s">
        <v>2</v>
      </c>
      <c r="C98" s="241"/>
      <c r="D98" s="241"/>
      <c r="E98" s="241"/>
      <c r="F98" s="242"/>
      <c r="G98" s="51" t="s">
        <v>68</v>
      </c>
      <c r="H98" s="51">
        <v>1</v>
      </c>
      <c r="I98" s="61"/>
      <c r="J98" s="135"/>
      <c r="K98" s="60"/>
      <c r="L98" s="88"/>
      <c r="M98" s="88">
        <f>M59</f>
        <v>5925.2251654458441</v>
      </c>
    </row>
    <row r="99" spans="1:16" ht="18" customHeight="1" x14ac:dyDescent="0.25">
      <c r="A99" s="19">
        <v>8</v>
      </c>
      <c r="B99" s="240" t="s">
        <v>3</v>
      </c>
      <c r="C99" s="241"/>
      <c r="D99" s="241"/>
      <c r="E99" s="241"/>
      <c r="F99" s="242"/>
      <c r="G99" s="51" t="s">
        <v>68</v>
      </c>
      <c r="H99" s="51">
        <v>1</v>
      </c>
      <c r="I99" s="61"/>
      <c r="J99" s="135"/>
      <c r="K99" s="60"/>
      <c r="L99" s="88"/>
      <c r="M99" s="88">
        <f t="shared" ref="M99:M101" si="11">M60</f>
        <v>1827.2440833876597</v>
      </c>
    </row>
    <row r="100" spans="1:16" ht="18" customHeight="1" x14ac:dyDescent="0.25">
      <c r="A100" s="19">
        <v>9</v>
      </c>
      <c r="B100" s="240" t="s">
        <v>4</v>
      </c>
      <c r="C100" s="241"/>
      <c r="D100" s="241"/>
      <c r="E100" s="241"/>
      <c r="F100" s="242"/>
      <c r="G100" s="51" t="s">
        <v>68</v>
      </c>
      <c r="H100" s="51">
        <v>1</v>
      </c>
      <c r="I100" s="61"/>
      <c r="J100" s="135"/>
      <c r="K100" s="60"/>
      <c r="L100" s="88"/>
      <c r="M100" s="88">
        <f t="shared" si="11"/>
        <v>5347.2193839660749</v>
      </c>
    </row>
    <row r="101" spans="1:16" ht="18" customHeight="1" x14ac:dyDescent="0.25">
      <c r="A101" s="19">
        <v>10</v>
      </c>
      <c r="B101" s="240" t="s">
        <v>5</v>
      </c>
      <c r="C101" s="241"/>
      <c r="D101" s="241"/>
      <c r="E101" s="241"/>
      <c r="F101" s="242"/>
      <c r="G101" s="51" t="s">
        <v>68</v>
      </c>
      <c r="H101" s="51">
        <v>1</v>
      </c>
      <c r="I101" s="61"/>
      <c r="J101" s="135"/>
      <c r="K101" s="60"/>
      <c r="L101" s="88"/>
      <c r="M101" s="88">
        <f t="shared" si="11"/>
        <v>7796.418997194869</v>
      </c>
    </row>
    <row r="102" spans="1:16" ht="18" customHeight="1" x14ac:dyDescent="0.25">
      <c r="A102" s="19">
        <v>11</v>
      </c>
      <c r="B102" s="240" t="s">
        <v>102</v>
      </c>
      <c r="C102" s="241"/>
      <c r="D102" s="241"/>
      <c r="E102" s="241"/>
      <c r="F102" s="242"/>
      <c r="G102" s="51" t="s">
        <v>68</v>
      </c>
      <c r="H102" s="51">
        <v>1</v>
      </c>
      <c r="I102" s="61"/>
      <c r="J102" s="135"/>
      <c r="K102" s="60"/>
      <c r="L102" s="88"/>
      <c r="M102" s="88">
        <f>M63</f>
        <v>2140.2195641428348</v>
      </c>
    </row>
    <row r="103" spans="1:16" x14ac:dyDescent="0.25">
      <c r="A103" s="19">
        <v>12</v>
      </c>
      <c r="B103" s="240" t="s">
        <v>95</v>
      </c>
      <c r="C103" s="241"/>
      <c r="D103" s="241"/>
      <c r="E103" s="241"/>
      <c r="F103" s="242"/>
      <c r="G103" s="51" t="s">
        <v>68</v>
      </c>
      <c r="H103" s="51">
        <v>1</v>
      </c>
      <c r="I103" s="61"/>
      <c r="J103" s="135"/>
      <c r="K103" s="60"/>
      <c r="L103" s="88"/>
      <c r="M103" s="88">
        <f>M42+M43+M44+M45</f>
        <v>5227.356433889624</v>
      </c>
    </row>
    <row r="104" spans="1:16" x14ac:dyDescent="0.25">
      <c r="A104" s="19">
        <v>13</v>
      </c>
      <c r="B104" s="240" t="s">
        <v>96</v>
      </c>
      <c r="C104" s="241"/>
      <c r="D104" s="241"/>
      <c r="E104" s="241"/>
      <c r="F104" s="242"/>
      <c r="G104" s="51" t="s">
        <v>68</v>
      </c>
      <c r="H104" s="51">
        <v>1</v>
      </c>
      <c r="I104" s="61"/>
      <c r="J104" s="135"/>
      <c r="K104" s="60"/>
      <c r="L104" s="88"/>
      <c r="M104" s="88">
        <f>M31+M32+M33+M34+M35+M36</f>
        <v>7796.418997194869</v>
      </c>
    </row>
    <row r="105" spans="1:16" ht="27" customHeight="1" x14ac:dyDescent="0.25">
      <c r="A105" s="19">
        <v>14</v>
      </c>
      <c r="B105" s="236" t="s">
        <v>9</v>
      </c>
      <c r="C105" s="237"/>
      <c r="D105" s="237"/>
      <c r="E105" s="237"/>
      <c r="F105" s="238"/>
      <c r="G105" s="51" t="s">
        <v>68</v>
      </c>
      <c r="H105" s="51">
        <v>1</v>
      </c>
      <c r="I105" s="61"/>
      <c r="J105" s="135"/>
      <c r="K105" s="60"/>
      <c r="L105" s="88"/>
      <c r="M105" s="88">
        <f>M58</f>
        <v>9265.4060409095837</v>
      </c>
    </row>
    <row r="106" spans="1:16" x14ac:dyDescent="0.25">
      <c r="A106" s="19">
        <v>15</v>
      </c>
      <c r="B106" s="233" t="s">
        <v>97</v>
      </c>
      <c r="C106" s="234"/>
      <c r="D106" s="234"/>
      <c r="E106" s="234"/>
      <c r="F106" s="235"/>
      <c r="G106" s="51" t="s">
        <v>68</v>
      </c>
      <c r="H106" s="51">
        <v>1</v>
      </c>
      <c r="I106" s="61"/>
      <c r="J106" s="135"/>
      <c r="K106" s="60"/>
      <c r="L106" s="88"/>
      <c r="M106" s="88">
        <f>M52+M53+M54+M55</f>
        <v>1948.4388440205148</v>
      </c>
    </row>
    <row r="107" spans="1:16" x14ac:dyDescent="0.25">
      <c r="A107" s="155"/>
      <c r="B107" s="154"/>
      <c r="C107" s="154"/>
      <c r="D107" s="154"/>
      <c r="E107" s="154"/>
      <c r="F107" s="154"/>
      <c r="G107" s="153"/>
      <c r="H107" s="153"/>
      <c r="I107" s="76"/>
      <c r="J107" s="134"/>
      <c r="K107" s="75"/>
      <c r="L107" s="27"/>
      <c r="M107" s="27"/>
    </row>
    <row r="108" spans="1:16" x14ac:dyDescent="0.25">
      <c r="A108" s="29"/>
      <c r="B108" s="49"/>
      <c r="C108" s="231"/>
      <c r="D108" s="231"/>
      <c r="E108" s="231"/>
      <c r="F108" s="231"/>
      <c r="G108" s="30"/>
      <c r="H108" s="30"/>
      <c r="I108" s="55"/>
      <c r="J108" s="137"/>
      <c r="K108" s="31"/>
      <c r="L108" s="31"/>
      <c r="M108" s="28"/>
      <c r="N108" s="28"/>
    </row>
    <row r="109" spans="1:16" s="33" customFormat="1" ht="12.75" x14ac:dyDescent="0.2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32"/>
      <c r="P109" s="32"/>
    </row>
    <row r="110" spans="1:16" s="33" customFormat="1" ht="12.75" x14ac:dyDescent="0.2">
      <c r="A110" s="232"/>
      <c r="B110" s="232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32"/>
      <c r="P110" s="32"/>
    </row>
    <row r="111" spans="1:16" s="33" customFormat="1" ht="12.75" x14ac:dyDescent="0.2">
      <c r="A111" s="151"/>
      <c r="B111" s="151"/>
      <c r="C111" s="151"/>
      <c r="D111" s="151"/>
      <c r="E111" s="151"/>
      <c r="F111" s="151"/>
      <c r="G111" s="151"/>
      <c r="H111" s="151"/>
      <c r="I111" s="151"/>
      <c r="J111" s="157"/>
      <c r="K111" s="151"/>
      <c r="L111" s="151"/>
      <c r="M111" s="151"/>
      <c r="N111" s="151"/>
      <c r="O111" s="32"/>
      <c r="P111" s="32"/>
    </row>
    <row r="112" spans="1:16" s="33" customFormat="1" ht="12.75" x14ac:dyDescent="0.2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  <c r="M112" s="239"/>
      <c r="N112" s="239"/>
      <c r="O112" s="32"/>
      <c r="P112" s="32"/>
    </row>
    <row r="113" spans="1:16" s="33" customFormat="1" ht="12.75" x14ac:dyDescent="0.2">
      <c r="A113" s="232"/>
      <c r="B113" s="232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32"/>
      <c r="P113" s="32"/>
    </row>
    <row r="114" spans="1:16" x14ac:dyDescent="0.25">
      <c r="A114" s="29"/>
      <c r="B114" s="49"/>
      <c r="C114" s="231"/>
      <c r="D114" s="231"/>
      <c r="E114" s="231"/>
      <c r="F114" s="231"/>
      <c r="G114" s="30"/>
      <c r="H114" s="30"/>
      <c r="I114" s="55"/>
      <c r="J114" s="137"/>
      <c r="K114" s="31"/>
      <c r="L114" s="31"/>
      <c r="M114" s="31"/>
    </row>
    <row r="115" spans="1:16" x14ac:dyDescent="0.25">
      <c r="A115" s="29"/>
      <c r="B115" s="49"/>
      <c r="C115" s="231"/>
      <c r="D115" s="231"/>
      <c r="E115" s="231"/>
      <c r="F115" s="231"/>
      <c r="G115" s="30"/>
      <c r="H115" s="30"/>
      <c r="I115" s="55"/>
      <c r="J115" s="137"/>
      <c r="K115" s="31"/>
      <c r="L115" s="31"/>
      <c r="M115" s="31"/>
    </row>
    <row r="116" spans="1:16" x14ac:dyDescent="0.25">
      <c r="A116" s="29"/>
      <c r="B116" s="49"/>
      <c r="C116" s="231"/>
      <c r="D116" s="231"/>
      <c r="E116" s="231"/>
      <c r="F116" s="231"/>
      <c r="G116" s="30"/>
      <c r="H116" s="30"/>
      <c r="I116" s="55"/>
      <c r="J116" s="137"/>
      <c r="K116" s="31"/>
      <c r="L116" s="31"/>
      <c r="M116" s="31"/>
    </row>
    <row r="117" spans="1:16" x14ac:dyDescent="0.25">
      <c r="A117" s="29"/>
      <c r="B117" s="49"/>
      <c r="C117" s="231"/>
      <c r="D117" s="231"/>
      <c r="E117" s="231"/>
      <c r="F117" s="231"/>
      <c r="G117" s="30"/>
      <c r="H117" s="30"/>
      <c r="I117" s="55"/>
      <c r="J117" s="137"/>
      <c r="K117" s="31"/>
      <c r="L117" s="31"/>
      <c r="M117" s="31"/>
    </row>
    <row r="118" spans="1:16" x14ac:dyDescent="0.25">
      <c r="A118" s="29"/>
      <c r="B118" s="49"/>
      <c r="C118" s="231"/>
      <c r="D118" s="231"/>
      <c r="E118" s="231"/>
      <c r="F118" s="231"/>
      <c r="G118" s="30"/>
      <c r="H118" s="30"/>
      <c r="I118" s="55"/>
      <c r="J118" s="137"/>
      <c r="K118" s="31"/>
      <c r="L118" s="31"/>
      <c r="M118" s="31"/>
    </row>
    <row r="119" spans="1:16" x14ac:dyDescent="0.25">
      <c r="A119" s="29"/>
      <c r="B119" s="49"/>
      <c r="C119" s="231"/>
      <c r="D119" s="231"/>
      <c r="E119" s="231"/>
      <c r="F119" s="231"/>
      <c r="G119" s="30"/>
      <c r="H119" s="30"/>
      <c r="I119" s="55"/>
      <c r="J119" s="137"/>
      <c r="K119" s="31"/>
      <c r="L119" s="31"/>
      <c r="M119" s="31"/>
    </row>
    <row r="120" spans="1:16" x14ac:dyDescent="0.25">
      <c r="A120" s="29"/>
      <c r="B120" s="49"/>
      <c r="C120" s="231"/>
      <c r="D120" s="231"/>
      <c r="E120" s="231"/>
      <c r="F120" s="231"/>
      <c r="G120" s="30"/>
      <c r="H120" s="30"/>
      <c r="I120" s="55"/>
      <c r="J120" s="137"/>
      <c r="K120" s="31"/>
      <c r="L120" s="31"/>
      <c r="M120" s="31"/>
    </row>
    <row r="121" spans="1:16" x14ac:dyDescent="0.25">
      <c r="A121" s="29"/>
      <c r="B121" s="49"/>
      <c r="C121" s="231"/>
      <c r="D121" s="231"/>
      <c r="E121" s="231"/>
      <c r="F121" s="231"/>
      <c r="G121" s="30"/>
      <c r="H121" s="30"/>
      <c r="I121" s="55"/>
      <c r="J121" s="137"/>
      <c r="K121" s="31"/>
      <c r="L121" s="31"/>
      <c r="M121" s="31"/>
    </row>
    <row r="122" spans="1:16" x14ac:dyDescent="0.25">
      <c r="A122" s="29"/>
      <c r="B122" s="49"/>
      <c r="C122" s="231"/>
      <c r="D122" s="231"/>
      <c r="E122" s="231"/>
      <c r="F122" s="231"/>
      <c r="G122" s="30"/>
      <c r="H122" s="30"/>
      <c r="I122" s="55"/>
      <c r="J122" s="137"/>
      <c r="K122" s="31"/>
      <c r="L122" s="31"/>
      <c r="M122" s="31"/>
    </row>
    <row r="123" spans="1:16" x14ac:dyDescent="0.25">
      <c r="A123" s="29"/>
      <c r="B123" s="49"/>
      <c r="C123" s="231"/>
      <c r="D123" s="231"/>
      <c r="E123" s="231"/>
      <c r="F123" s="231"/>
      <c r="G123" s="30"/>
      <c r="H123" s="30"/>
      <c r="I123" s="55"/>
      <c r="J123" s="137"/>
      <c r="K123" s="31"/>
      <c r="L123" s="31"/>
      <c r="M123" s="31"/>
    </row>
    <row r="124" spans="1:16" x14ac:dyDescent="0.25">
      <c r="A124" s="29"/>
      <c r="B124" s="49"/>
      <c r="C124" s="231"/>
      <c r="D124" s="231"/>
      <c r="E124" s="231"/>
      <c r="F124" s="231"/>
      <c r="G124" s="30"/>
      <c r="H124" s="30"/>
      <c r="I124" s="55"/>
      <c r="J124" s="137"/>
      <c r="K124" s="31"/>
      <c r="L124" s="31"/>
      <c r="M124" s="31"/>
    </row>
    <row r="125" spans="1:16" x14ac:dyDescent="0.25">
      <c r="A125" s="29"/>
      <c r="B125" s="49"/>
      <c r="C125" s="231"/>
      <c r="D125" s="231"/>
      <c r="E125" s="231"/>
      <c r="F125" s="231"/>
      <c r="G125" s="30"/>
      <c r="H125" s="30"/>
      <c r="I125" s="55"/>
      <c r="J125" s="137"/>
      <c r="K125" s="31"/>
      <c r="L125" s="31"/>
      <c r="M125" s="31"/>
    </row>
    <row r="126" spans="1:16" x14ac:dyDescent="0.25">
      <c r="A126" s="29"/>
      <c r="B126" s="49"/>
      <c r="C126" s="231"/>
      <c r="D126" s="231"/>
      <c r="E126" s="231"/>
      <c r="F126" s="231"/>
      <c r="G126" s="30"/>
      <c r="H126" s="30"/>
      <c r="I126" s="55"/>
      <c r="J126" s="137"/>
      <c r="K126" s="31"/>
      <c r="L126" s="31"/>
      <c r="M126" s="31"/>
    </row>
    <row r="127" spans="1:16" x14ac:dyDescent="0.25">
      <c r="A127" s="29"/>
      <c r="B127" s="49"/>
      <c r="C127" s="231"/>
      <c r="D127" s="231"/>
      <c r="E127" s="231"/>
      <c r="F127" s="231"/>
      <c r="G127" s="30"/>
      <c r="H127" s="30"/>
      <c r="I127" s="55"/>
      <c r="J127" s="137"/>
      <c r="K127" s="31"/>
      <c r="L127" s="31"/>
      <c r="M127" s="31"/>
    </row>
    <row r="128" spans="1:16" x14ac:dyDescent="0.25">
      <c r="A128" s="29"/>
      <c r="B128" s="49"/>
      <c r="C128" s="231"/>
      <c r="D128" s="231"/>
      <c r="E128" s="231"/>
      <c r="F128" s="231"/>
      <c r="G128" s="30"/>
      <c r="H128" s="30"/>
      <c r="I128" s="55"/>
      <c r="J128" s="137"/>
      <c r="K128" s="31"/>
      <c r="L128" s="31"/>
      <c r="M128" s="31"/>
    </row>
    <row r="129" spans="1:13" x14ac:dyDescent="0.25">
      <c r="A129" s="29"/>
      <c r="B129" s="49"/>
      <c r="C129" s="231"/>
      <c r="D129" s="231"/>
      <c r="E129" s="231"/>
      <c r="F129" s="231"/>
      <c r="G129" s="30"/>
      <c r="H129" s="30"/>
      <c r="I129" s="55"/>
      <c r="J129" s="137"/>
      <c r="K129" s="31"/>
      <c r="L129" s="31"/>
      <c r="M129" s="31"/>
    </row>
    <row r="130" spans="1:13" x14ac:dyDescent="0.25">
      <c r="A130" s="29"/>
      <c r="B130" s="49"/>
      <c r="C130" s="231"/>
      <c r="D130" s="231"/>
      <c r="E130" s="231"/>
      <c r="F130" s="231"/>
      <c r="G130" s="30"/>
      <c r="H130" s="30"/>
      <c r="I130" s="55"/>
      <c r="J130" s="137"/>
      <c r="K130" s="31"/>
      <c r="L130" s="31"/>
      <c r="M130" s="31"/>
    </row>
    <row r="131" spans="1:13" x14ac:dyDescent="0.25">
      <c r="A131" s="29"/>
      <c r="B131" s="49"/>
      <c r="C131" s="231"/>
      <c r="D131" s="231"/>
      <c r="E131" s="231"/>
      <c r="F131" s="231"/>
      <c r="G131" s="30"/>
      <c r="H131" s="30"/>
      <c r="I131" s="55"/>
      <c r="J131" s="137"/>
      <c r="K131" s="31"/>
      <c r="L131" s="31"/>
      <c r="M131" s="31"/>
    </row>
    <row r="132" spans="1:13" x14ac:dyDescent="0.25">
      <c r="A132" s="29"/>
      <c r="B132" s="49"/>
      <c r="C132" s="231"/>
      <c r="D132" s="231"/>
      <c r="E132" s="231"/>
      <c r="F132" s="231"/>
      <c r="G132" s="30"/>
      <c r="H132" s="30"/>
      <c r="I132" s="55"/>
      <c r="J132" s="137"/>
      <c r="K132" s="31"/>
      <c r="L132" s="31"/>
      <c r="M132" s="31"/>
    </row>
    <row r="133" spans="1:13" x14ac:dyDescent="0.25">
      <c r="A133" s="29"/>
      <c r="B133" s="49"/>
      <c r="C133" s="231"/>
      <c r="D133" s="231"/>
      <c r="E133" s="231"/>
      <c r="F133" s="231"/>
      <c r="G133" s="30"/>
      <c r="H133" s="30"/>
      <c r="I133" s="55"/>
      <c r="J133" s="137"/>
      <c r="K133" s="31"/>
      <c r="L133" s="31"/>
      <c r="M133" s="31"/>
    </row>
    <row r="134" spans="1:13" x14ac:dyDescent="0.25">
      <c r="A134" s="29"/>
      <c r="B134" s="49"/>
      <c r="C134" s="231"/>
      <c r="D134" s="231"/>
      <c r="E134" s="231"/>
      <c r="F134" s="231"/>
      <c r="G134" s="30"/>
      <c r="H134" s="30"/>
      <c r="I134" s="55"/>
      <c r="J134" s="137"/>
      <c r="K134" s="31"/>
      <c r="L134" s="31"/>
      <c r="M134" s="31"/>
    </row>
    <row r="135" spans="1:13" x14ac:dyDescent="0.25">
      <c r="A135" s="29"/>
      <c r="B135" s="49"/>
      <c r="C135" s="231"/>
      <c r="D135" s="231"/>
      <c r="E135" s="231"/>
      <c r="F135" s="231"/>
      <c r="G135" s="30"/>
      <c r="H135" s="30"/>
      <c r="I135" s="55"/>
      <c r="J135" s="137"/>
      <c r="K135" s="31"/>
      <c r="L135" s="31"/>
      <c r="M135" s="31"/>
    </row>
    <row r="136" spans="1:13" x14ac:dyDescent="0.25">
      <c r="A136" s="29"/>
      <c r="B136" s="49"/>
      <c r="C136" s="231"/>
      <c r="D136" s="231"/>
      <c r="E136" s="231"/>
      <c r="F136" s="231"/>
      <c r="G136" s="30"/>
      <c r="H136" s="30"/>
      <c r="I136" s="55"/>
      <c r="J136" s="137"/>
      <c r="K136" s="31"/>
      <c r="L136" s="31"/>
      <c r="M136" s="31"/>
    </row>
    <row r="137" spans="1:13" x14ac:dyDescent="0.25">
      <c r="A137" s="29"/>
      <c r="B137" s="49"/>
      <c r="C137" s="231"/>
      <c r="D137" s="231"/>
      <c r="E137" s="231"/>
      <c r="F137" s="231"/>
      <c r="G137" s="30"/>
      <c r="H137" s="30"/>
      <c r="I137" s="55"/>
      <c r="J137" s="137"/>
      <c r="K137" s="31"/>
      <c r="L137" s="31"/>
      <c r="M137" s="31"/>
    </row>
    <row r="138" spans="1:13" x14ac:dyDescent="0.25">
      <c r="A138" s="29"/>
      <c r="B138" s="49"/>
      <c r="C138" s="231"/>
      <c r="D138" s="231"/>
      <c r="E138" s="231"/>
      <c r="F138" s="231"/>
      <c r="G138" s="30"/>
      <c r="H138" s="30"/>
      <c r="I138" s="55"/>
      <c r="J138" s="137"/>
      <c r="K138" s="31"/>
      <c r="L138" s="31"/>
      <c r="M138" s="31"/>
    </row>
    <row r="139" spans="1:13" x14ac:dyDescent="0.25">
      <c r="A139" s="29"/>
      <c r="B139" s="49"/>
      <c r="C139" s="231"/>
      <c r="D139" s="231"/>
      <c r="E139" s="231"/>
      <c r="F139" s="231"/>
      <c r="G139" s="30"/>
      <c r="H139" s="30"/>
      <c r="I139" s="55"/>
      <c r="J139" s="137"/>
      <c r="K139" s="31"/>
      <c r="L139" s="31"/>
      <c r="M139" s="31"/>
    </row>
    <row r="140" spans="1:13" x14ac:dyDescent="0.25">
      <c r="A140" s="29"/>
      <c r="B140" s="49"/>
      <c r="C140" s="231"/>
      <c r="D140" s="231"/>
      <c r="E140" s="231"/>
      <c r="F140" s="231"/>
      <c r="G140" s="30"/>
      <c r="H140" s="30"/>
      <c r="I140" s="55"/>
      <c r="J140" s="137"/>
      <c r="K140" s="31"/>
      <c r="L140" s="31"/>
      <c r="M140" s="31"/>
    </row>
    <row r="141" spans="1:13" x14ac:dyDescent="0.25">
      <c r="A141" s="29"/>
      <c r="B141" s="49"/>
      <c r="C141" s="231"/>
      <c r="D141" s="231"/>
      <c r="E141" s="231"/>
      <c r="F141" s="231"/>
      <c r="G141" s="30"/>
      <c r="H141" s="30"/>
      <c r="I141" s="55"/>
      <c r="J141" s="137"/>
      <c r="K141" s="31"/>
      <c r="L141" s="31"/>
      <c r="M141" s="31"/>
    </row>
    <row r="142" spans="1:13" x14ac:dyDescent="0.25">
      <c r="A142" s="29"/>
      <c r="B142" s="49"/>
      <c r="C142" s="231"/>
      <c r="D142" s="231"/>
      <c r="E142" s="231"/>
      <c r="F142" s="231"/>
      <c r="G142" s="30"/>
      <c r="H142" s="30"/>
      <c r="I142" s="55"/>
      <c r="J142" s="137"/>
      <c r="K142" s="31"/>
      <c r="L142" s="31"/>
      <c r="M142" s="31"/>
    </row>
    <row r="143" spans="1:13" x14ac:dyDescent="0.25">
      <c r="A143" s="29"/>
      <c r="B143" s="49"/>
      <c r="C143" s="231"/>
      <c r="D143" s="231"/>
      <c r="E143" s="231"/>
      <c r="F143" s="231"/>
      <c r="G143" s="30"/>
      <c r="H143" s="30"/>
      <c r="I143" s="55"/>
      <c r="J143" s="137"/>
      <c r="K143" s="31"/>
      <c r="L143" s="31"/>
      <c r="M143" s="31"/>
    </row>
    <row r="144" spans="1:13" x14ac:dyDescent="0.25">
      <c r="A144" s="29"/>
      <c r="B144" s="49"/>
      <c r="C144" s="231"/>
      <c r="D144" s="231"/>
      <c r="E144" s="231"/>
      <c r="F144" s="231"/>
      <c r="G144" s="30"/>
      <c r="H144" s="30"/>
      <c r="I144" s="55"/>
      <c r="J144" s="137"/>
      <c r="K144" s="31"/>
      <c r="L144" s="31"/>
      <c r="M144" s="31"/>
    </row>
    <row r="145" spans="1:13" x14ac:dyDescent="0.25">
      <c r="A145" s="29"/>
      <c r="B145" s="49"/>
      <c r="C145" s="231"/>
      <c r="D145" s="231"/>
      <c r="E145" s="231"/>
      <c r="F145" s="231"/>
      <c r="G145" s="30"/>
      <c r="H145" s="30"/>
      <c r="I145" s="55"/>
      <c r="J145" s="137"/>
      <c r="K145" s="31"/>
      <c r="L145" s="31"/>
      <c r="M145" s="31"/>
    </row>
    <row r="146" spans="1:13" x14ac:dyDescent="0.25">
      <c r="A146" s="29"/>
      <c r="B146" s="49"/>
      <c r="C146" s="231"/>
      <c r="D146" s="231"/>
      <c r="E146" s="231"/>
      <c r="F146" s="231"/>
      <c r="G146" s="30"/>
      <c r="H146" s="30"/>
      <c r="I146" s="55"/>
      <c r="J146" s="137"/>
      <c r="K146" s="31"/>
      <c r="L146" s="31"/>
      <c r="M146" s="31"/>
    </row>
    <row r="147" spans="1:13" x14ac:dyDescent="0.25">
      <c r="A147" s="29"/>
      <c r="B147" s="49"/>
      <c r="C147" s="231"/>
      <c r="D147" s="231"/>
      <c r="E147" s="231"/>
      <c r="F147" s="231"/>
      <c r="G147" s="30"/>
      <c r="H147" s="30"/>
      <c r="I147" s="55"/>
      <c r="J147" s="137"/>
      <c r="K147" s="31"/>
      <c r="L147" s="31"/>
      <c r="M147" s="31"/>
    </row>
    <row r="148" spans="1:13" x14ac:dyDescent="0.25">
      <c r="A148" s="29"/>
      <c r="B148" s="49"/>
      <c r="C148" s="231"/>
      <c r="D148" s="231"/>
      <c r="E148" s="231"/>
      <c r="F148" s="231"/>
      <c r="G148" s="30"/>
      <c r="H148" s="30"/>
      <c r="I148" s="55"/>
      <c r="J148" s="137"/>
      <c r="K148" s="31"/>
      <c r="L148" s="31"/>
      <c r="M148" s="31"/>
    </row>
    <row r="149" spans="1:13" x14ac:dyDescent="0.25">
      <c r="A149" s="29"/>
      <c r="B149" s="49"/>
      <c r="C149" s="231"/>
      <c r="D149" s="231"/>
      <c r="E149" s="231"/>
      <c r="F149" s="231"/>
      <c r="G149" s="30"/>
      <c r="H149" s="30"/>
      <c r="I149" s="55"/>
      <c r="J149" s="137"/>
      <c r="K149" s="31"/>
      <c r="L149" s="31"/>
      <c r="M149" s="31"/>
    </row>
    <row r="150" spans="1:13" x14ac:dyDescent="0.25">
      <c r="A150" s="29"/>
      <c r="B150" s="49"/>
      <c r="C150" s="231"/>
      <c r="D150" s="231"/>
      <c r="E150" s="231"/>
      <c r="F150" s="231"/>
      <c r="G150" s="30"/>
      <c r="H150" s="30"/>
      <c r="I150" s="55"/>
      <c r="J150" s="137"/>
      <c r="K150" s="31"/>
      <c r="L150" s="31"/>
      <c r="M150" s="31"/>
    </row>
    <row r="151" spans="1:13" x14ac:dyDescent="0.25">
      <c r="A151" s="29"/>
      <c r="B151" s="49"/>
      <c r="C151" s="231"/>
      <c r="D151" s="231"/>
      <c r="E151" s="231"/>
      <c r="F151" s="231"/>
      <c r="G151" s="30"/>
      <c r="H151" s="30"/>
      <c r="I151" s="55"/>
      <c r="J151" s="137"/>
      <c r="K151" s="31"/>
      <c r="L151" s="31"/>
      <c r="M151" s="31"/>
    </row>
    <row r="152" spans="1:13" x14ac:dyDescent="0.25">
      <c r="A152" s="29"/>
      <c r="B152" s="49"/>
      <c r="C152" s="231"/>
      <c r="D152" s="231"/>
      <c r="E152" s="231"/>
      <c r="F152" s="231"/>
      <c r="G152" s="30"/>
      <c r="H152" s="30"/>
      <c r="I152" s="55"/>
      <c r="J152" s="137"/>
      <c r="K152" s="31"/>
      <c r="L152" s="31"/>
      <c r="M152" s="31"/>
    </row>
    <row r="153" spans="1:13" x14ac:dyDescent="0.25">
      <c r="A153" s="29"/>
      <c r="B153" s="49"/>
      <c r="C153" s="231"/>
      <c r="D153" s="231"/>
      <c r="E153" s="231"/>
      <c r="F153" s="231"/>
      <c r="G153" s="30"/>
      <c r="H153" s="30"/>
      <c r="I153" s="55"/>
      <c r="J153" s="137"/>
      <c r="K153" s="31"/>
      <c r="L153" s="31"/>
      <c r="M153" s="31"/>
    </row>
    <row r="154" spans="1:13" x14ac:dyDescent="0.25">
      <c r="A154" s="29"/>
      <c r="B154" s="49"/>
      <c r="C154" s="231"/>
      <c r="D154" s="231"/>
      <c r="E154" s="231"/>
      <c r="F154" s="231"/>
      <c r="G154" s="30"/>
      <c r="H154" s="30"/>
      <c r="I154" s="55"/>
      <c r="J154" s="137"/>
      <c r="K154" s="31"/>
      <c r="L154" s="31"/>
      <c r="M154" s="31"/>
    </row>
    <row r="155" spans="1:13" x14ac:dyDescent="0.25">
      <c r="A155" s="29"/>
      <c r="B155" s="49"/>
      <c r="C155" s="231"/>
      <c r="D155" s="231"/>
      <c r="E155" s="231"/>
      <c r="F155" s="231"/>
      <c r="G155" s="30"/>
      <c r="H155" s="30"/>
      <c r="I155" s="55"/>
      <c r="J155" s="137"/>
      <c r="K155" s="31"/>
      <c r="L155" s="31"/>
      <c r="M155" s="31"/>
    </row>
    <row r="156" spans="1:13" x14ac:dyDescent="0.25">
      <c r="A156" s="29"/>
      <c r="B156" s="49"/>
      <c r="C156" s="231"/>
      <c r="D156" s="231"/>
      <c r="E156" s="231"/>
      <c r="F156" s="231"/>
      <c r="G156" s="30"/>
      <c r="H156" s="30"/>
      <c r="I156" s="55"/>
      <c r="J156" s="137"/>
      <c r="K156" s="31"/>
      <c r="L156" s="31"/>
      <c r="M156" s="31"/>
    </row>
    <row r="157" spans="1:13" x14ac:dyDescent="0.25">
      <c r="A157" s="29"/>
      <c r="B157" s="49"/>
      <c r="C157" s="231"/>
      <c r="D157" s="231"/>
      <c r="E157" s="231"/>
      <c r="F157" s="231"/>
      <c r="G157" s="30"/>
      <c r="H157" s="30"/>
      <c r="I157" s="55"/>
      <c r="J157" s="137"/>
      <c r="K157" s="31"/>
      <c r="L157" s="31"/>
      <c r="M157" s="31"/>
    </row>
    <row r="158" spans="1:13" x14ac:dyDescent="0.25">
      <c r="A158" s="29"/>
      <c r="B158" s="49"/>
      <c r="C158" s="231"/>
      <c r="D158" s="231"/>
      <c r="E158" s="231"/>
      <c r="F158" s="231"/>
      <c r="G158" s="30"/>
      <c r="H158" s="30"/>
      <c r="I158" s="55"/>
      <c r="J158" s="137"/>
      <c r="K158" s="31"/>
      <c r="L158" s="31"/>
      <c r="M158" s="31"/>
    </row>
    <row r="159" spans="1:13" x14ac:dyDescent="0.25">
      <c r="A159" s="29"/>
      <c r="B159" s="49"/>
      <c r="C159" s="231"/>
      <c r="D159" s="231"/>
      <c r="E159" s="231"/>
      <c r="F159" s="231"/>
      <c r="G159" s="30"/>
      <c r="H159" s="30"/>
      <c r="I159" s="55"/>
      <c r="J159" s="137"/>
      <c r="K159" s="31"/>
      <c r="L159" s="31"/>
      <c r="M159" s="31"/>
    </row>
    <row r="160" spans="1:13" x14ac:dyDescent="0.25">
      <c r="A160" s="29"/>
      <c r="B160" s="49"/>
      <c r="C160" s="231"/>
      <c r="D160" s="231"/>
      <c r="E160" s="231"/>
      <c r="F160" s="231"/>
      <c r="G160" s="30"/>
      <c r="H160" s="30"/>
      <c r="I160" s="55"/>
      <c r="J160" s="137"/>
      <c r="K160" s="31"/>
      <c r="L160" s="31"/>
      <c r="M160" s="31"/>
    </row>
    <row r="161" spans="1:13" x14ac:dyDescent="0.25">
      <c r="A161" s="29"/>
      <c r="B161" s="49"/>
      <c r="C161" s="231"/>
      <c r="D161" s="231"/>
      <c r="E161" s="231"/>
      <c r="F161" s="231"/>
      <c r="G161" s="30"/>
      <c r="H161" s="30"/>
      <c r="I161" s="55"/>
      <c r="J161" s="137"/>
      <c r="K161" s="31"/>
      <c r="L161" s="31"/>
      <c r="M161" s="31"/>
    </row>
    <row r="162" spans="1:13" x14ac:dyDescent="0.25">
      <c r="A162" s="29"/>
      <c r="B162" s="49"/>
      <c r="C162" s="231"/>
      <c r="D162" s="231"/>
      <c r="E162" s="231"/>
      <c r="F162" s="231"/>
      <c r="G162" s="30"/>
      <c r="H162" s="30"/>
      <c r="I162" s="55"/>
      <c r="J162" s="137"/>
      <c r="K162" s="31"/>
      <c r="L162" s="31"/>
      <c r="M162" s="31"/>
    </row>
    <row r="163" spans="1:13" x14ac:dyDescent="0.25">
      <c r="A163" s="29"/>
      <c r="B163" s="49"/>
      <c r="C163" s="231"/>
      <c r="D163" s="231"/>
      <c r="E163" s="231"/>
      <c r="F163" s="231"/>
      <c r="G163" s="30"/>
      <c r="H163" s="30"/>
      <c r="I163" s="55"/>
      <c r="J163" s="137"/>
      <c r="K163" s="31"/>
      <c r="L163" s="31"/>
      <c r="M163" s="31"/>
    </row>
    <row r="164" spans="1:13" x14ac:dyDescent="0.25">
      <c r="A164" s="34"/>
      <c r="C164" s="230"/>
      <c r="D164" s="230"/>
      <c r="E164" s="230"/>
      <c r="F164" s="230"/>
      <c r="G164" s="34"/>
      <c r="H164" s="34"/>
      <c r="I164" s="56"/>
      <c r="J164" s="59"/>
      <c r="K164" s="34"/>
      <c r="L164" s="34"/>
      <c r="M164" s="34"/>
    </row>
    <row r="165" spans="1:13" x14ac:dyDescent="0.25">
      <c r="A165" s="34"/>
      <c r="C165" s="230"/>
      <c r="D165" s="230"/>
      <c r="E165" s="230"/>
      <c r="F165" s="230"/>
      <c r="G165" s="34"/>
      <c r="H165" s="34"/>
      <c r="I165" s="56"/>
      <c r="J165" s="59"/>
      <c r="K165" s="34"/>
      <c r="L165" s="34"/>
      <c r="M165" s="34"/>
    </row>
    <row r="166" spans="1:13" x14ac:dyDescent="0.25">
      <c r="C166" s="230"/>
      <c r="D166" s="230"/>
      <c r="E166" s="230"/>
      <c r="F166" s="230"/>
      <c r="G166" s="34"/>
      <c r="H166" s="34"/>
      <c r="I166" s="56"/>
      <c r="J166" s="59"/>
      <c r="K166" s="34"/>
      <c r="L166" s="34"/>
      <c r="M166" s="34"/>
    </row>
    <row r="167" spans="1:13" x14ac:dyDescent="0.25">
      <c r="C167" s="230"/>
      <c r="D167" s="230"/>
      <c r="E167" s="230"/>
      <c r="F167" s="230"/>
      <c r="G167" s="34"/>
      <c r="H167" s="34"/>
      <c r="I167" s="56"/>
      <c r="J167" s="59"/>
      <c r="K167" s="34"/>
      <c r="L167" s="34"/>
      <c r="M167" s="34"/>
    </row>
    <row r="168" spans="1:13" x14ac:dyDescent="0.25">
      <c r="C168" s="230"/>
      <c r="D168" s="230"/>
      <c r="E168" s="230"/>
      <c r="F168" s="230"/>
      <c r="G168" s="34"/>
      <c r="H168" s="34"/>
      <c r="I168" s="56"/>
      <c r="J168" s="59"/>
      <c r="K168" s="34"/>
      <c r="L168" s="34"/>
      <c r="M168" s="34"/>
    </row>
    <row r="169" spans="1:13" x14ac:dyDescent="0.25">
      <c r="C169" s="230"/>
      <c r="D169" s="230"/>
      <c r="E169" s="230"/>
      <c r="F169" s="230"/>
      <c r="G169" s="34"/>
      <c r="H169" s="34"/>
      <c r="I169" s="56"/>
      <c r="J169" s="59"/>
      <c r="K169" s="34"/>
      <c r="L169" s="34"/>
      <c r="M169" s="34"/>
    </row>
    <row r="170" spans="1:13" x14ac:dyDescent="0.25">
      <c r="C170" s="230"/>
      <c r="D170" s="230"/>
      <c r="E170" s="230"/>
      <c r="F170" s="230"/>
      <c r="G170" s="34"/>
      <c r="H170" s="34"/>
      <c r="I170" s="56"/>
      <c r="J170" s="59"/>
      <c r="K170" s="34"/>
      <c r="L170" s="34"/>
      <c r="M170" s="34"/>
    </row>
    <row r="171" spans="1:13" x14ac:dyDescent="0.25">
      <c r="C171" s="230"/>
      <c r="D171" s="230"/>
      <c r="E171" s="230"/>
      <c r="F171" s="230"/>
      <c r="G171" s="34"/>
      <c r="H171" s="34"/>
      <c r="I171" s="56"/>
      <c r="J171" s="59"/>
      <c r="K171" s="34"/>
      <c r="L171" s="34"/>
      <c r="M171" s="34"/>
    </row>
  </sheetData>
  <mergeCells count="164">
    <mergeCell ref="C74:F74"/>
    <mergeCell ref="A16:G16"/>
    <mergeCell ref="H16:M16"/>
    <mergeCell ref="A17:G17"/>
    <mergeCell ref="H17:M17"/>
    <mergeCell ref="A18:G18"/>
    <mergeCell ref="H18:M18"/>
    <mergeCell ref="A7:M7"/>
    <mergeCell ref="A8:M8"/>
    <mergeCell ref="A13:M13"/>
    <mergeCell ref="A14:G14"/>
    <mergeCell ref="H14:M14"/>
    <mergeCell ref="A15:G15"/>
    <mergeCell ref="H15:M15"/>
    <mergeCell ref="C28:F28"/>
    <mergeCell ref="C29:F29"/>
    <mergeCell ref="C30:F30"/>
    <mergeCell ref="C31:F31"/>
    <mergeCell ref="C32:F32"/>
    <mergeCell ref="C33:F33"/>
    <mergeCell ref="C21:F21"/>
    <mergeCell ref="C24:F24"/>
    <mergeCell ref="C25:F25"/>
    <mergeCell ref="C26:F26"/>
    <mergeCell ref="C27:F27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51:F51"/>
    <mergeCell ref="C52:F52"/>
    <mergeCell ref="C53:F53"/>
    <mergeCell ref="C54:F54"/>
    <mergeCell ref="C55:F55"/>
    <mergeCell ref="C56:F56"/>
    <mergeCell ref="C46:F46"/>
    <mergeCell ref="C47:F47"/>
    <mergeCell ref="C48:F48"/>
    <mergeCell ref="C49:F49"/>
    <mergeCell ref="C50:F50"/>
    <mergeCell ref="C64:F64"/>
    <mergeCell ref="C65:F65"/>
    <mergeCell ref="C66:F66"/>
    <mergeCell ref="C67:F67"/>
    <mergeCell ref="C68:F68"/>
    <mergeCell ref="C57:F57"/>
    <mergeCell ref="C58:F58"/>
    <mergeCell ref="C59:F59"/>
    <mergeCell ref="C60:F60"/>
    <mergeCell ref="C61:F61"/>
    <mergeCell ref="C62:F62"/>
    <mergeCell ref="B94:F94"/>
    <mergeCell ref="B95:F95"/>
    <mergeCell ref="B96:F96"/>
    <mergeCell ref="B97:F97"/>
    <mergeCell ref="B98:F98"/>
    <mergeCell ref="B99:F99"/>
    <mergeCell ref="B91:F91"/>
    <mergeCell ref="B92:F92"/>
    <mergeCell ref="N92:U92"/>
    <mergeCell ref="B93:F93"/>
    <mergeCell ref="N93:Q93"/>
    <mergeCell ref="B106:F106"/>
    <mergeCell ref="B105:F105"/>
    <mergeCell ref="C108:F108"/>
    <mergeCell ref="A109:N109"/>
    <mergeCell ref="A110:N110"/>
    <mergeCell ref="A112:N112"/>
    <mergeCell ref="B100:F100"/>
    <mergeCell ref="B101:F101"/>
    <mergeCell ref="B102:F102"/>
    <mergeCell ref="B103:F103"/>
    <mergeCell ref="B104:F104"/>
    <mergeCell ref="C119:F119"/>
    <mergeCell ref="C120:F120"/>
    <mergeCell ref="C121:F121"/>
    <mergeCell ref="C122:F122"/>
    <mergeCell ref="C123:F123"/>
    <mergeCell ref="C124:F124"/>
    <mergeCell ref="A113:N113"/>
    <mergeCell ref="C114:F114"/>
    <mergeCell ref="C115:F115"/>
    <mergeCell ref="C116:F116"/>
    <mergeCell ref="C117:F117"/>
    <mergeCell ref="C118:F118"/>
    <mergeCell ref="C131:F131"/>
    <mergeCell ref="C132:F132"/>
    <mergeCell ref="C133:F133"/>
    <mergeCell ref="C134:F134"/>
    <mergeCell ref="C135:F135"/>
    <mergeCell ref="C136:F136"/>
    <mergeCell ref="C125:F125"/>
    <mergeCell ref="C126:F126"/>
    <mergeCell ref="C127:F127"/>
    <mergeCell ref="C128:F128"/>
    <mergeCell ref="C129:F129"/>
    <mergeCell ref="C130:F130"/>
    <mergeCell ref="C143:F143"/>
    <mergeCell ref="C144:F144"/>
    <mergeCell ref="C145:F145"/>
    <mergeCell ref="C146:F146"/>
    <mergeCell ref="C147:F147"/>
    <mergeCell ref="C148:F148"/>
    <mergeCell ref="C137:F137"/>
    <mergeCell ref="C138:F138"/>
    <mergeCell ref="C139:F139"/>
    <mergeCell ref="C140:F140"/>
    <mergeCell ref="C141:F141"/>
    <mergeCell ref="C142:F142"/>
    <mergeCell ref="C155:F155"/>
    <mergeCell ref="C156:F156"/>
    <mergeCell ref="C157:F157"/>
    <mergeCell ref="C158:F158"/>
    <mergeCell ref="C159:F159"/>
    <mergeCell ref="C160:F160"/>
    <mergeCell ref="C149:F149"/>
    <mergeCell ref="C150:F150"/>
    <mergeCell ref="C151:F151"/>
    <mergeCell ref="C152:F152"/>
    <mergeCell ref="C153:F153"/>
    <mergeCell ref="C154:F154"/>
    <mergeCell ref="C167:F167"/>
    <mergeCell ref="C168:F168"/>
    <mergeCell ref="C169:F169"/>
    <mergeCell ref="C170:F170"/>
    <mergeCell ref="C171:F171"/>
    <mergeCell ref="C161:F161"/>
    <mergeCell ref="C162:F162"/>
    <mergeCell ref="C163:F163"/>
    <mergeCell ref="C164:F164"/>
    <mergeCell ref="C165:F165"/>
    <mergeCell ref="C166:F166"/>
    <mergeCell ref="C89:F89"/>
    <mergeCell ref="C84:F84"/>
    <mergeCell ref="C85:F85"/>
    <mergeCell ref="C86:F86"/>
    <mergeCell ref="C87:F87"/>
    <mergeCell ref="C88:F88"/>
    <mergeCell ref="A6:M6"/>
    <mergeCell ref="C23:F23"/>
    <mergeCell ref="C22:F22"/>
    <mergeCell ref="C82:F82"/>
    <mergeCell ref="C83:F83"/>
    <mergeCell ref="C76:F76"/>
    <mergeCell ref="C77:F77"/>
    <mergeCell ref="C78:F78"/>
    <mergeCell ref="C79:F79"/>
    <mergeCell ref="C80:F80"/>
    <mergeCell ref="C81:F81"/>
    <mergeCell ref="C69:F69"/>
    <mergeCell ref="C70:F70"/>
    <mergeCell ref="C71:F71"/>
    <mergeCell ref="C72:F72"/>
    <mergeCell ref="C73:F73"/>
    <mergeCell ref="C75:F75"/>
    <mergeCell ref="C63:F63"/>
  </mergeCells>
  <pageMargins left="0.7" right="0.7" top="0.75" bottom="0.75" header="0.3" footer="0.3"/>
  <pageSetup paperSize="9" scale="88" orientation="landscape" r:id="rId1"/>
  <rowBreaks count="2" manualBreakCount="2">
    <brk id="65" max="13" man="1"/>
    <brk id="9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152"/>
  <sheetViews>
    <sheetView view="pageBreakPreview" topLeftCell="A82" zoomScale="85" zoomScaleNormal="55" zoomScaleSheetLayoutView="85" zoomScalePageLayoutView="55" workbookViewId="0">
      <selection activeCell="A90" sqref="A90:N94"/>
    </sheetView>
  </sheetViews>
  <sheetFormatPr defaultRowHeight="15" x14ac:dyDescent="0.25"/>
  <cols>
    <col min="1" max="1" width="4.5703125" style="7" customWidth="1"/>
    <col min="2" max="2" width="22.28515625" style="7" customWidth="1"/>
    <col min="3" max="5" width="9.140625" style="7"/>
    <col min="6" max="6" width="34" style="7" customWidth="1"/>
    <col min="7" max="7" width="11.5703125" style="7" customWidth="1"/>
    <col min="8" max="8" width="11.7109375" style="7" customWidth="1"/>
    <col min="9" max="9" width="12" style="24" customWidth="1"/>
    <col min="10" max="10" width="11.42578125" style="7" customWidth="1"/>
    <col min="11" max="11" width="10.7109375" style="7" customWidth="1"/>
    <col min="12" max="12" width="13" style="7" customWidth="1"/>
    <col min="13" max="13" width="14.140625" style="7" customWidth="1"/>
    <col min="14" max="14" width="9.140625" style="7" hidden="1" customWidth="1"/>
    <col min="15" max="16384" width="9.140625" style="7"/>
  </cols>
  <sheetData>
    <row r="1" spans="1:14" x14ac:dyDescent="0.25">
      <c r="M1" s="12" t="s">
        <v>301</v>
      </c>
    </row>
    <row r="2" spans="1:14" x14ac:dyDescent="0.25">
      <c r="M2" s="12" t="s">
        <v>31</v>
      </c>
      <c r="N2" s="12" t="s">
        <v>30</v>
      </c>
    </row>
    <row r="3" spans="1:14" x14ac:dyDescent="0.25">
      <c r="M3" s="12"/>
      <c r="N3" s="12" t="s">
        <v>20</v>
      </c>
    </row>
    <row r="4" spans="1:14" x14ac:dyDescent="0.25">
      <c r="N4" s="12" t="s">
        <v>32</v>
      </c>
    </row>
    <row r="5" spans="1:14" x14ac:dyDescent="0.25">
      <c r="K5" s="300" t="s">
        <v>84</v>
      </c>
      <c r="L5" s="300"/>
      <c r="M5" s="300"/>
    </row>
    <row r="6" spans="1:14" x14ac:dyDescent="0.25">
      <c r="A6" s="220" t="s">
        <v>21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13"/>
    </row>
    <row r="7" spans="1:14" x14ac:dyDescent="0.25">
      <c r="A7" s="220" t="s">
        <v>22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</row>
    <row r="8" spans="1:14" x14ac:dyDescent="0.25">
      <c r="A8" s="268" t="s">
        <v>248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</row>
    <row r="10" spans="1:14" x14ac:dyDescent="0.25">
      <c r="A10" s="7" t="s">
        <v>239</v>
      </c>
    </row>
    <row r="11" spans="1:14" x14ac:dyDescent="0.25">
      <c r="A11" s="7" t="s">
        <v>71</v>
      </c>
    </row>
    <row r="12" spans="1:14" ht="15.75" thickBot="1" x14ac:dyDescent="0.3"/>
    <row r="13" spans="1:14" x14ac:dyDescent="0.25">
      <c r="A13" s="301" t="s">
        <v>34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3"/>
    </row>
    <row r="14" spans="1:14" x14ac:dyDescent="0.25">
      <c r="A14" s="293" t="s">
        <v>87</v>
      </c>
      <c r="B14" s="229"/>
      <c r="C14" s="229"/>
      <c r="D14" s="229"/>
      <c r="E14" s="229"/>
      <c r="F14" s="229"/>
      <c r="G14" s="229"/>
      <c r="H14" s="229" t="s">
        <v>86</v>
      </c>
      <c r="I14" s="229"/>
      <c r="J14" s="229"/>
      <c r="K14" s="229"/>
      <c r="L14" s="229"/>
      <c r="M14" s="229"/>
      <c r="N14" s="294"/>
    </row>
    <row r="15" spans="1:14" x14ac:dyDescent="0.25">
      <c r="A15" s="293" t="s">
        <v>262</v>
      </c>
      <c r="B15" s="229"/>
      <c r="C15" s="229"/>
      <c r="D15" s="229"/>
      <c r="E15" s="229"/>
      <c r="F15" s="229"/>
      <c r="G15" s="229"/>
      <c r="H15" s="229" t="s">
        <v>261</v>
      </c>
      <c r="I15" s="229"/>
      <c r="J15" s="229"/>
      <c r="K15" s="229"/>
      <c r="L15" s="229"/>
      <c r="M15" s="229"/>
      <c r="N15" s="294"/>
    </row>
    <row r="16" spans="1:14" x14ac:dyDescent="0.25">
      <c r="A16" s="295" t="s">
        <v>260</v>
      </c>
      <c r="B16" s="296"/>
      <c r="C16" s="296"/>
      <c r="D16" s="296"/>
      <c r="E16" s="296"/>
      <c r="F16" s="296"/>
      <c r="G16" s="263"/>
      <c r="H16" s="295" t="str">
        <f>A16</f>
        <v xml:space="preserve">1,0565 (5%/4+4,4%) индекс-дефлятор перевода на 4 кв  2020 год </v>
      </c>
      <c r="I16" s="296"/>
      <c r="J16" s="296"/>
      <c r="K16" s="296"/>
      <c r="L16" s="296"/>
      <c r="M16" s="296"/>
      <c r="N16" s="297"/>
    </row>
    <row r="17" spans="1:14" x14ac:dyDescent="0.25">
      <c r="A17" s="259" t="s">
        <v>242</v>
      </c>
      <c r="B17" s="260"/>
      <c r="C17" s="260"/>
      <c r="D17" s="260"/>
      <c r="E17" s="260"/>
      <c r="F17" s="260"/>
      <c r="G17" s="262"/>
      <c r="H17" s="296" t="s">
        <v>240</v>
      </c>
      <c r="I17" s="296"/>
      <c r="J17" s="296"/>
      <c r="K17" s="296"/>
      <c r="L17" s="296"/>
      <c r="M17" s="296"/>
      <c r="N17" s="297"/>
    </row>
    <row r="18" spans="1:14" ht="15.75" thickBot="1" x14ac:dyDescent="0.3">
      <c r="A18" s="298" t="s">
        <v>240</v>
      </c>
      <c r="B18" s="299"/>
      <c r="C18" s="299"/>
      <c r="D18" s="299"/>
      <c r="E18" s="299"/>
      <c r="F18" s="299"/>
      <c r="G18" s="299"/>
      <c r="H18" s="146"/>
      <c r="I18" s="147"/>
      <c r="J18" s="146"/>
      <c r="K18" s="146"/>
      <c r="L18" s="146"/>
      <c r="M18" s="146"/>
      <c r="N18" s="148"/>
    </row>
    <row r="19" spans="1:14" x14ac:dyDescent="0.25">
      <c r="A19" s="35"/>
      <c r="B19" s="35"/>
      <c r="C19" s="35"/>
      <c r="D19" s="35"/>
      <c r="E19" s="35"/>
      <c r="F19" s="35"/>
      <c r="G19" s="35"/>
      <c r="H19" s="292"/>
      <c r="I19" s="292"/>
      <c r="J19" s="292"/>
      <c r="K19" s="292"/>
      <c r="L19" s="292"/>
      <c r="M19" s="292"/>
      <c r="N19" s="292"/>
    </row>
    <row r="20" spans="1:14" s="17" customFormat="1" ht="45" x14ac:dyDescent="0.25">
      <c r="A20" s="92" t="s">
        <v>36</v>
      </c>
      <c r="B20" s="92" t="s">
        <v>37</v>
      </c>
      <c r="C20" s="276" t="s">
        <v>38</v>
      </c>
      <c r="D20" s="276"/>
      <c r="E20" s="276"/>
      <c r="F20" s="276"/>
      <c r="G20" s="92" t="s">
        <v>39</v>
      </c>
      <c r="H20" s="92" t="s">
        <v>40</v>
      </c>
      <c r="I20" s="53" t="s">
        <v>41</v>
      </c>
      <c r="J20" s="92" t="s">
        <v>42</v>
      </c>
      <c r="K20" s="92" t="s">
        <v>43</v>
      </c>
      <c r="L20" s="92" t="s">
        <v>44</v>
      </c>
      <c r="M20" s="92" t="s">
        <v>235</v>
      </c>
    </row>
    <row r="21" spans="1:14" x14ac:dyDescent="0.25">
      <c r="A21" s="91">
        <v>1</v>
      </c>
      <c r="B21" s="91">
        <v>2</v>
      </c>
      <c r="C21" s="229">
        <v>3</v>
      </c>
      <c r="D21" s="229"/>
      <c r="E21" s="229"/>
      <c r="F21" s="229"/>
      <c r="G21" s="91">
        <v>4</v>
      </c>
      <c r="H21" s="91">
        <v>5</v>
      </c>
      <c r="I21" s="58">
        <v>6</v>
      </c>
      <c r="J21" s="91">
        <v>7</v>
      </c>
      <c r="K21" s="91">
        <v>8</v>
      </c>
      <c r="L21" s="91">
        <v>9</v>
      </c>
      <c r="M21" s="91">
        <v>10</v>
      </c>
    </row>
    <row r="22" spans="1:14" ht="46.5" customHeight="1" x14ac:dyDescent="0.25">
      <c r="A22" s="51">
        <v>1</v>
      </c>
      <c r="B22" s="119" t="s">
        <v>120</v>
      </c>
      <c r="C22" s="285" t="s">
        <v>46</v>
      </c>
      <c r="D22" s="286"/>
      <c r="E22" s="286"/>
      <c r="F22" s="287"/>
      <c r="G22" s="51" t="s">
        <v>151</v>
      </c>
      <c r="H22" s="120">
        <v>1</v>
      </c>
      <c r="I22" s="121">
        <v>1071</v>
      </c>
      <c r="J22" s="65">
        <f>I22*H22</f>
        <v>1071</v>
      </c>
      <c r="K22" s="66">
        <f>1.0565*1.034965*1.015</f>
        <v>1.1098421303374999</v>
      </c>
      <c r="L22" s="65">
        <f>J22*K22</f>
        <v>1188.6409215914623</v>
      </c>
      <c r="M22" s="65">
        <f>L22*1.2</f>
        <v>1426.3691059097548</v>
      </c>
    </row>
    <row r="23" spans="1:14" ht="46.5" customHeight="1" x14ac:dyDescent="0.25">
      <c r="A23" s="51">
        <v>2</v>
      </c>
      <c r="B23" s="119" t="s">
        <v>121</v>
      </c>
      <c r="C23" s="285" t="s">
        <v>47</v>
      </c>
      <c r="D23" s="286"/>
      <c r="E23" s="286"/>
      <c r="F23" s="287"/>
      <c r="G23" s="51" t="s">
        <v>151</v>
      </c>
      <c r="H23" s="120">
        <v>1</v>
      </c>
      <c r="I23" s="121">
        <v>370</v>
      </c>
      <c r="J23" s="65">
        <f t="shared" ref="J23:J38" si="0">I23*H23</f>
        <v>370</v>
      </c>
      <c r="K23" s="66">
        <f t="shared" ref="K23:K72" si="1">1.0565*1.034965*1.015</f>
        <v>1.1098421303374999</v>
      </c>
      <c r="L23" s="65">
        <f t="shared" ref="L23:L72" si="2">J23*K23</f>
        <v>410.64158822487497</v>
      </c>
      <c r="M23" s="65">
        <f t="shared" ref="M23:M72" si="3">L23*1.2</f>
        <v>492.76990586984994</v>
      </c>
    </row>
    <row r="24" spans="1:14" ht="48" customHeight="1" x14ac:dyDescent="0.25">
      <c r="A24" s="51">
        <v>3</v>
      </c>
      <c r="B24" s="119" t="s">
        <v>122</v>
      </c>
      <c r="C24" s="285" t="s">
        <v>48</v>
      </c>
      <c r="D24" s="286"/>
      <c r="E24" s="286"/>
      <c r="F24" s="287"/>
      <c r="G24" s="51" t="s">
        <v>151</v>
      </c>
      <c r="H24" s="120">
        <v>1</v>
      </c>
      <c r="I24" s="121">
        <v>432</v>
      </c>
      <c r="J24" s="65">
        <f t="shared" si="0"/>
        <v>432</v>
      </c>
      <c r="K24" s="66">
        <f t="shared" si="1"/>
        <v>1.1098421303374999</v>
      </c>
      <c r="L24" s="65">
        <f t="shared" si="2"/>
        <v>479.45180030579996</v>
      </c>
      <c r="M24" s="65">
        <f t="shared" si="3"/>
        <v>575.34216036695989</v>
      </c>
    </row>
    <row r="25" spans="1:14" ht="46.5" customHeight="1" x14ac:dyDescent="0.25">
      <c r="A25" s="51">
        <v>4</v>
      </c>
      <c r="B25" s="119" t="s">
        <v>123</v>
      </c>
      <c r="C25" s="285" t="s">
        <v>49</v>
      </c>
      <c r="D25" s="286"/>
      <c r="E25" s="286"/>
      <c r="F25" s="287"/>
      <c r="G25" s="51" t="s">
        <v>151</v>
      </c>
      <c r="H25" s="120">
        <v>1</v>
      </c>
      <c r="I25" s="121">
        <v>4537</v>
      </c>
      <c r="J25" s="65">
        <f t="shared" si="0"/>
        <v>4537</v>
      </c>
      <c r="K25" s="66">
        <f t="shared" si="1"/>
        <v>1.1098421303374999</v>
      </c>
      <c r="L25" s="65">
        <f t="shared" si="2"/>
        <v>5035.3537453412373</v>
      </c>
      <c r="M25" s="65">
        <f t="shared" si="3"/>
        <v>6042.4244944094844</v>
      </c>
    </row>
    <row r="26" spans="1:14" ht="38.25" customHeight="1" x14ac:dyDescent="0.25">
      <c r="A26" s="51">
        <v>5</v>
      </c>
      <c r="B26" s="119" t="s">
        <v>124</v>
      </c>
      <c r="C26" s="285" t="s">
        <v>50</v>
      </c>
      <c r="D26" s="286"/>
      <c r="E26" s="286"/>
      <c r="F26" s="287"/>
      <c r="G26" s="51" t="s">
        <v>151</v>
      </c>
      <c r="H26" s="120">
        <v>1</v>
      </c>
      <c r="I26" s="121">
        <v>9505</v>
      </c>
      <c r="J26" s="65">
        <f t="shared" si="0"/>
        <v>9505</v>
      </c>
      <c r="K26" s="66">
        <f t="shared" si="1"/>
        <v>1.1098421303374999</v>
      </c>
      <c r="L26" s="65">
        <f t="shared" si="2"/>
        <v>10549.049448857937</v>
      </c>
      <c r="M26" s="65">
        <f t="shared" si="3"/>
        <v>12658.859338629523</v>
      </c>
    </row>
    <row r="27" spans="1:14" ht="33.75" customHeight="1" x14ac:dyDescent="0.25">
      <c r="A27" s="51">
        <v>6</v>
      </c>
      <c r="B27" s="119" t="s">
        <v>125</v>
      </c>
      <c r="C27" s="285" t="s">
        <v>51</v>
      </c>
      <c r="D27" s="286"/>
      <c r="E27" s="286"/>
      <c r="F27" s="287"/>
      <c r="G27" s="51" t="s">
        <v>151</v>
      </c>
      <c r="H27" s="120">
        <v>1</v>
      </c>
      <c r="I27" s="121">
        <v>14675</v>
      </c>
      <c r="J27" s="65">
        <f t="shared" si="0"/>
        <v>14675</v>
      </c>
      <c r="K27" s="66">
        <f t="shared" si="1"/>
        <v>1.1098421303374999</v>
      </c>
      <c r="L27" s="65">
        <f t="shared" si="2"/>
        <v>16286.933262702811</v>
      </c>
      <c r="M27" s="65">
        <f t="shared" si="3"/>
        <v>19544.319915243374</v>
      </c>
    </row>
    <row r="28" spans="1:14" ht="43.5" customHeight="1" x14ac:dyDescent="0.25">
      <c r="A28" s="51">
        <v>7</v>
      </c>
      <c r="B28" s="119" t="s">
        <v>131</v>
      </c>
      <c r="C28" s="285" t="s">
        <v>54</v>
      </c>
      <c r="D28" s="286"/>
      <c r="E28" s="286"/>
      <c r="F28" s="287"/>
      <c r="G28" s="51" t="s">
        <v>149</v>
      </c>
      <c r="H28" s="120">
        <v>0.01</v>
      </c>
      <c r="I28" s="121">
        <f>92/H28</f>
        <v>9200</v>
      </c>
      <c r="J28" s="65">
        <f t="shared" si="0"/>
        <v>92</v>
      </c>
      <c r="K28" s="66">
        <f t="shared" si="1"/>
        <v>1.1098421303374999</v>
      </c>
      <c r="L28" s="65">
        <f t="shared" si="2"/>
        <v>102.10547599104999</v>
      </c>
      <c r="M28" s="65">
        <f t="shared" si="3"/>
        <v>122.52657118925998</v>
      </c>
    </row>
    <row r="29" spans="1:14" ht="54" customHeight="1" x14ac:dyDescent="0.25">
      <c r="A29" s="51">
        <v>8</v>
      </c>
      <c r="B29" s="119" t="s">
        <v>201</v>
      </c>
      <c r="C29" s="285" t="s">
        <v>217</v>
      </c>
      <c r="D29" s="286"/>
      <c r="E29" s="286"/>
      <c r="F29" s="287"/>
      <c r="G29" s="92" t="s">
        <v>182</v>
      </c>
      <c r="H29" s="120">
        <v>1</v>
      </c>
      <c r="I29" s="121">
        <v>102089</v>
      </c>
      <c r="J29" s="65">
        <f t="shared" si="0"/>
        <v>102089</v>
      </c>
      <c r="K29" s="66">
        <f t="shared" si="1"/>
        <v>1.1098421303374999</v>
      </c>
      <c r="L29" s="65">
        <f t="shared" si="2"/>
        <v>113302.67324402503</v>
      </c>
      <c r="M29" s="65">
        <f t="shared" si="3"/>
        <v>135963.20789283005</v>
      </c>
    </row>
    <row r="30" spans="1:14" ht="46.5" customHeight="1" x14ac:dyDescent="0.25">
      <c r="A30" s="51">
        <v>9</v>
      </c>
      <c r="B30" s="119" t="s">
        <v>131</v>
      </c>
      <c r="C30" s="285" t="s">
        <v>218</v>
      </c>
      <c r="D30" s="286"/>
      <c r="E30" s="286"/>
      <c r="F30" s="287"/>
      <c r="G30" s="92" t="s">
        <v>149</v>
      </c>
      <c r="H30" s="122">
        <v>0.01</v>
      </c>
      <c r="I30" s="121">
        <f>92/H30</f>
        <v>9200</v>
      </c>
      <c r="J30" s="65">
        <f t="shared" si="0"/>
        <v>92</v>
      </c>
      <c r="K30" s="66">
        <f t="shared" si="1"/>
        <v>1.1098421303374999</v>
      </c>
      <c r="L30" s="65">
        <f t="shared" si="2"/>
        <v>102.10547599104999</v>
      </c>
      <c r="M30" s="65">
        <f t="shared" si="3"/>
        <v>122.52657118925998</v>
      </c>
    </row>
    <row r="31" spans="1:14" ht="51" customHeight="1" x14ac:dyDescent="0.25">
      <c r="A31" s="51">
        <v>10</v>
      </c>
      <c r="B31" s="119" t="s">
        <v>202</v>
      </c>
      <c r="C31" s="285" t="s">
        <v>219</v>
      </c>
      <c r="D31" s="286"/>
      <c r="E31" s="286"/>
      <c r="F31" s="287"/>
      <c r="G31" s="92" t="s">
        <v>143</v>
      </c>
      <c r="H31" s="122">
        <v>7.0000000000000007E-2</v>
      </c>
      <c r="I31" s="121">
        <f>1035/H31</f>
        <v>14785.714285714284</v>
      </c>
      <c r="J31" s="65">
        <f t="shared" si="0"/>
        <v>1035</v>
      </c>
      <c r="K31" s="66">
        <f t="shared" si="1"/>
        <v>1.1098421303374999</v>
      </c>
      <c r="L31" s="65">
        <f t="shared" si="2"/>
        <v>1148.6866048993124</v>
      </c>
      <c r="M31" s="65">
        <f t="shared" si="3"/>
        <v>1378.4239258791749</v>
      </c>
    </row>
    <row r="32" spans="1:14" ht="49.5" customHeight="1" x14ac:dyDescent="0.25">
      <c r="A32" s="51">
        <v>11</v>
      </c>
      <c r="B32" s="119" t="s">
        <v>203</v>
      </c>
      <c r="C32" s="285" t="s">
        <v>220</v>
      </c>
      <c r="D32" s="286"/>
      <c r="E32" s="286"/>
      <c r="F32" s="287"/>
      <c r="G32" s="92" t="s">
        <v>145</v>
      </c>
      <c r="H32" s="122">
        <v>2.7650000000000001E-3</v>
      </c>
      <c r="I32" s="121">
        <f>119/H32</f>
        <v>43037.9746835443</v>
      </c>
      <c r="J32" s="65">
        <f t="shared" si="0"/>
        <v>119</v>
      </c>
      <c r="K32" s="66">
        <f t="shared" si="1"/>
        <v>1.1098421303374999</v>
      </c>
      <c r="L32" s="65">
        <f t="shared" si="2"/>
        <v>132.07121351016249</v>
      </c>
      <c r="M32" s="65">
        <f t="shared" si="3"/>
        <v>158.48545621219498</v>
      </c>
    </row>
    <row r="33" spans="1:13" ht="33.75" customHeight="1" x14ac:dyDescent="0.25">
      <c r="A33" s="51">
        <v>12</v>
      </c>
      <c r="B33" s="119" t="s">
        <v>129</v>
      </c>
      <c r="C33" s="285" t="s">
        <v>7</v>
      </c>
      <c r="D33" s="286"/>
      <c r="E33" s="286"/>
      <c r="F33" s="287"/>
      <c r="G33" s="92" t="s">
        <v>147</v>
      </c>
      <c r="H33" s="120">
        <v>0.1</v>
      </c>
      <c r="I33" s="121">
        <f>747/H33</f>
        <v>7470</v>
      </c>
      <c r="J33" s="65">
        <f t="shared" si="0"/>
        <v>747</v>
      </c>
      <c r="K33" s="66">
        <f t="shared" si="1"/>
        <v>1.1098421303374999</v>
      </c>
      <c r="L33" s="65">
        <f t="shared" si="2"/>
        <v>829.05207136211243</v>
      </c>
      <c r="M33" s="65">
        <f t="shared" si="3"/>
        <v>994.86248563453489</v>
      </c>
    </row>
    <row r="34" spans="1:13" ht="28.5" x14ac:dyDescent="0.25">
      <c r="A34" s="51">
        <v>13</v>
      </c>
      <c r="B34" s="119" t="s">
        <v>141</v>
      </c>
      <c r="C34" s="285" t="s">
        <v>152</v>
      </c>
      <c r="D34" s="286"/>
      <c r="E34" s="286"/>
      <c r="F34" s="287"/>
      <c r="G34" s="92" t="s">
        <v>145</v>
      </c>
      <c r="H34" s="122">
        <v>1.1310000000000001E-2</v>
      </c>
      <c r="I34" s="121">
        <f>516/H34</f>
        <v>45623.342175066311</v>
      </c>
      <c r="J34" s="65">
        <f t="shared" si="0"/>
        <v>516</v>
      </c>
      <c r="K34" s="66">
        <f t="shared" si="1"/>
        <v>1.1098421303374999</v>
      </c>
      <c r="L34" s="65">
        <f t="shared" si="2"/>
        <v>572.67853925415</v>
      </c>
      <c r="M34" s="65">
        <f t="shared" si="3"/>
        <v>687.21424710498002</v>
      </c>
    </row>
    <row r="35" spans="1:13" s="138" customFormat="1" ht="30" x14ac:dyDescent="0.25">
      <c r="A35" s="51">
        <v>14</v>
      </c>
      <c r="B35" s="119" t="s">
        <v>264</v>
      </c>
      <c r="C35" s="285" t="s">
        <v>265</v>
      </c>
      <c r="D35" s="286"/>
      <c r="E35" s="286"/>
      <c r="F35" s="287"/>
      <c r="G35" s="158" t="s">
        <v>266</v>
      </c>
      <c r="H35" s="122">
        <v>1</v>
      </c>
      <c r="I35" s="159">
        <v>742</v>
      </c>
      <c r="J35" s="160">
        <f t="shared" ref="J35" si="4">I35*H35</f>
        <v>742</v>
      </c>
      <c r="K35" s="97">
        <f>1.0565*1.015</f>
        <v>1.0723474999999998</v>
      </c>
      <c r="L35" s="160">
        <f t="shared" ref="L35" si="5">J35*K35</f>
        <v>795.68184499999984</v>
      </c>
      <c r="M35" s="160">
        <f t="shared" ref="M35" si="6">L35*1.2</f>
        <v>954.81821399999978</v>
      </c>
    </row>
    <row r="36" spans="1:13" ht="35.25" customHeight="1" x14ac:dyDescent="0.25">
      <c r="A36" s="51">
        <v>15</v>
      </c>
      <c r="B36" s="119" t="s">
        <v>204</v>
      </c>
      <c r="C36" s="285" t="s">
        <v>221</v>
      </c>
      <c r="D36" s="286"/>
      <c r="E36" s="286"/>
      <c r="F36" s="287"/>
      <c r="G36" s="92" t="s">
        <v>151</v>
      </c>
      <c r="H36" s="120">
        <v>1</v>
      </c>
      <c r="I36" s="123">
        <v>676</v>
      </c>
      <c r="J36" s="124">
        <f>H36*I36</f>
        <v>676</v>
      </c>
      <c r="K36" s="66">
        <f t="shared" si="1"/>
        <v>1.1098421303374999</v>
      </c>
      <c r="L36" s="65">
        <f t="shared" si="2"/>
        <v>750.25328010814997</v>
      </c>
      <c r="M36" s="65">
        <f t="shared" si="3"/>
        <v>900.30393612977991</v>
      </c>
    </row>
    <row r="37" spans="1:13" s="24" customFormat="1" ht="51.75" customHeight="1" x14ac:dyDescent="0.25">
      <c r="A37" s="51">
        <v>16</v>
      </c>
      <c r="B37" s="125" t="s">
        <v>205</v>
      </c>
      <c r="C37" s="289" t="s">
        <v>222</v>
      </c>
      <c r="D37" s="290"/>
      <c r="E37" s="290"/>
      <c r="F37" s="291"/>
      <c r="G37" s="57" t="s">
        <v>151</v>
      </c>
      <c r="H37" s="126">
        <v>1</v>
      </c>
      <c r="I37" s="123">
        <v>1577</v>
      </c>
      <c r="J37" s="123">
        <f t="shared" si="0"/>
        <v>1577</v>
      </c>
      <c r="K37" s="66">
        <f t="shared" si="1"/>
        <v>1.1098421303374999</v>
      </c>
      <c r="L37" s="65">
        <f t="shared" si="2"/>
        <v>1750.2210395422373</v>
      </c>
      <c r="M37" s="65">
        <f t="shared" si="3"/>
        <v>2100.2652474506849</v>
      </c>
    </row>
    <row r="38" spans="1:13" ht="35.25" customHeight="1" x14ac:dyDescent="0.25">
      <c r="A38" s="51">
        <v>17</v>
      </c>
      <c r="B38" s="119" t="s">
        <v>135</v>
      </c>
      <c r="C38" s="285" t="s">
        <v>58</v>
      </c>
      <c r="D38" s="286"/>
      <c r="E38" s="286"/>
      <c r="F38" s="287"/>
      <c r="G38" s="92" t="s">
        <v>156</v>
      </c>
      <c r="H38" s="122">
        <v>0.01</v>
      </c>
      <c r="I38" s="123">
        <f>1215/H38</f>
        <v>121500</v>
      </c>
      <c r="J38" s="124">
        <f t="shared" si="0"/>
        <v>1215</v>
      </c>
      <c r="K38" s="66">
        <f t="shared" si="1"/>
        <v>1.1098421303374999</v>
      </c>
      <c r="L38" s="65">
        <f t="shared" si="2"/>
        <v>1348.4581883600624</v>
      </c>
      <c r="M38" s="65">
        <f t="shared" si="3"/>
        <v>1618.1498260320748</v>
      </c>
    </row>
    <row r="39" spans="1:13" ht="35.25" customHeight="1" x14ac:dyDescent="0.25">
      <c r="A39" s="51">
        <v>18</v>
      </c>
      <c r="B39" s="119" t="s">
        <v>128</v>
      </c>
      <c r="C39" s="285" t="s">
        <v>8</v>
      </c>
      <c r="D39" s="286"/>
      <c r="E39" s="286"/>
      <c r="F39" s="287"/>
      <c r="G39" s="92" t="s">
        <v>143</v>
      </c>
      <c r="H39" s="122">
        <v>0.01</v>
      </c>
      <c r="I39" s="84">
        <f>116/H39</f>
        <v>11600</v>
      </c>
      <c r="J39" s="127">
        <f t="shared" ref="J39:J54" si="7">H39*I39</f>
        <v>116</v>
      </c>
      <c r="K39" s="66">
        <f t="shared" si="1"/>
        <v>1.1098421303374999</v>
      </c>
      <c r="L39" s="65">
        <f t="shared" si="2"/>
        <v>128.74168711914999</v>
      </c>
      <c r="M39" s="65">
        <f t="shared" si="3"/>
        <v>154.49002454297997</v>
      </c>
    </row>
    <row r="40" spans="1:13" ht="33" customHeight="1" x14ac:dyDescent="0.25">
      <c r="A40" s="51">
        <v>19</v>
      </c>
      <c r="B40" s="119" t="s">
        <v>140</v>
      </c>
      <c r="C40" s="285" t="s">
        <v>153</v>
      </c>
      <c r="D40" s="286"/>
      <c r="E40" s="286"/>
      <c r="F40" s="287"/>
      <c r="G40" s="92" t="s">
        <v>145</v>
      </c>
      <c r="H40" s="122">
        <v>1.2600000000000001E-3</v>
      </c>
      <c r="I40" s="84">
        <f>67/H40</f>
        <v>53174.603174603173</v>
      </c>
      <c r="J40" s="127">
        <f t="shared" si="7"/>
        <v>67</v>
      </c>
      <c r="K40" s="66">
        <f t="shared" si="1"/>
        <v>1.1098421303374999</v>
      </c>
      <c r="L40" s="65">
        <f t="shared" si="2"/>
        <v>74.359422732612487</v>
      </c>
      <c r="M40" s="65">
        <f t="shared" si="3"/>
        <v>89.231307279134981</v>
      </c>
    </row>
    <row r="41" spans="1:13" ht="30" customHeight="1" x14ac:dyDescent="0.25">
      <c r="A41" s="51">
        <v>20</v>
      </c>
      <c r="B41" s="119" t="s">
        <v>136</v>
      </c>
      <c r="C41" s="285" t="s">
        <v>59</v>
      </c>
      <c r="D41" s="286"/>
      <c r="E41" s="286"/>
      <c r="F41" s="287"/>
      <c r="G41" s="92" t="s">
        <v>156</v>
      </c>
      <c r="H41" s="122">
        <v>0.01</v>
      </c>
      <c r="I41" s="84">
        <f>380/H41</f>
        <v>38000</v>
      </c>
      <c r="J41" s="127">
        <f t="shared" si="7"/>
        <v>380</v>
      </c>
      <c r="K41" s="66">
        <f t="shared" si="1"/>
        <v>1.1098421303374999</v>
      </c>
      <c r="L41" s="65">
        <f t="shared" si="2"/>
        <v>421.74000952824997</v>
      </c>
      <c r="M41" s="65">
        <f t="shared" si="3"/>
        <v>506.08801143389996</v>
      </c>
    </row>
    <row r="42" spans="1:13" ht="36" customHeight="1" x14ac:dyDescent="0.25">
      <c r="A42" s="51">
        <v>21</v>
      </c>
      <c r="B42" s="119" t="s">
        <v>206</v>
      </c>
      <c r="C42" s="285" t="s">
        <v>74</v>
      </c>
      <c r="D42" s="286"/>
      <c r="E42" s="286"/>
      <c r="F42" s="287"/>
      <c r="G42" s="92" t="s">
        <v>151</v>
      </c>
      <c r="H42" s="120">
        <v>1</v>
      </c>
      <c r="I42" s="84">
        <v>553</v>
      </c>
      <c r="J42" s="127">
        <f t="shared" si="7"/>
        <v>553</v>
      </c>
      <c r="K42" s="66">
        <f t="shared" si="1"/>
        <v>1.1098421303374999</v>
      </c>
      <c r="L42" s="65">
        <f t="shared" si="2"/>
        <v>613.74269807663745</v>
      </c>
      <c r="M42" s="65">
        <f t="shared" si="3"/>
        <v>736.4912376919649</v>
      </c>
    </row>
    <row r="43" spans="1:13" ht="44.25" customHeight="1" x14ac:dyDescent="0.25">
      <c r="A43" s="51">
        <v>22</v>
      </c>
      <c r="B43" s="119" t="s">
        <v>207</v>
      </c>
      <c r="C43" s="285" t="s">
        <v>223</v>
      </c>
      <c r="D43" s="286"/>
      <c r="E43" s="286"/>
      <c r="F43" s="287"/>
      <c r="G43" s="92" t="s">
        <v>224</v>
      </c>
      <c r="H43" s="122">
        <v>0.1</v>
      </c>
      <c r="I43" s="84">
        <f>80/H43</f>
        <v>800</v>
      </c>
      <c r="J43" s="127">
        <f t="shared" si="7"/>
        <v>80</v>
      </c>
      <c r="K43" s="66">
        <f t="shared" si="1"/>
        <v>1.1098421303374999</v>
      </c>
      <c r="L43" s="65">
        <f t="shared" si="2"/>
        <v>88.787370426999985</v>
      </c>
      <c r="M43" s="65">
        <f t="shared" si="3"/>
        <v>106.54484451239998</v>
      </c>
    </row>
    <row r="44" spans="1:13" ht="49.5" customHeight="1" x14ac:dyDescent="0.25">
      <c r="A44" s="51">
        <v>23</v>
      </c>
      <c r="B44" s="119" t="s">
        <v>259</v>
      </c>
      <c r="C44" s="285" t="s">
        <v>251</v>
      </c>
      <c r="D44" s="286"/>
      <c r="E44" s="286"/>
      <c r="F44" s="287"/>
      <c r="G44" s="92" t="s">
        <v>173</v>
      </c>
      <c r="H44" s="120">
        <v>1</v>
      </c>
      <c r="I44" s="84">
        <v>6048</v>
      </c>
      <c r="J44" s="127">
        <f t="shared" si="7"/>
        <v>6048</v>
      </c>
      <c r="K44" s="66">
        <f t="shared" si="1"/>
        <v>1.1098421303374999</v>
      </c>
      <c r="L44" s="65">
        <f t="shared" si="2"/>
        <v>6712.3252042811991</v>
      </c>
      <c r="M44" s="65">
        <f t="shared" si="3"/>
        <v>8054.7902451374384</v>
      </c>
    </row>
    <row r="45" spans="1:13" ht="33.75" customHeight="1" x14ac:dyDescent="0.25">
      <c r="A45" s="51">
        <v>24</v>
      </c>
      <c r="B45" s="119" t="s">
        <v>137</v>
      </c>
      <c r="C45" s="285" t="s">
        <v>60</v>
      </c>
      <c r="D45" s="286"/>
      <c r="E45" s="286"/>
      <c r="F45" s="287"/>
      <c r="G45" s="92" t="s">
        <v>174</v>
      </c>
      <c r="H45" s="122">
        <v>1</v>
      </c>
      <c r="I45" s="84">
        <f>1933</f>
        <v>1933</v>
      </c>
      <c r="J45" s="127">
        <f t="shared" si="7"/>
        <v>1933</v>
      </c>
      <c r="K45" s="66">
        <f t="shared" si="1"/>
        <v>1.1098421303374999</v>
      </c>
      <c r="L45" s="65">
        <f t="shared" si="2"/>
        <v>2145.3248379423871</v>
      </c>
      <c r="M45" s="65">
        <f t="shared" si="3"/>
        <v>2574.3898055308646</v>
      </c>
    </row>
    <row r="46" spans="1:13" ht="37.5" customHeight="1" x14ac:dyDescent="0.25">
      <c r="A46" s="51">
        <v>25</v>
      </c>
      <c r="B46" s="119" t="s">
        <v>267</v>
      </c>
      <c r="C46" s="285" t="s">
        <v>268</v>
      </c>
      <c r="D46" s="286"/>
      <c r="E46" s="286"/>
      <c r="F46" s="287"/>
      <c r="G46" s="92" t="s">
        <v>149</v>
      </c>
      <c r="H46" s="122">
        <v>0.01</v>
      </c>
      <c r="I46" s="84">
        <f>40/H46</f>
        <v>4000</v>
      </c>
      <c r="J46" s="127">
        <f t="shared" si="7"/>
        <v>40</v>
      </c>
      <c r="K46" s="66">
        <f t="shared" si="1"/>
        <v>1.1098421303374999</v>
      </c>
      <c r="L46" s="65">
        <f t="shared" si="2"/>
        <v>44.393685213499992</v>
      </c>
      <c r="M46" s="65">
        <f t="shared" si="3"/>
        <v>53.272422256199988</v>
      </c>
    </row>
    <row r="47" spans="1:13" ht="48" customHeight="1" x14ac:dyDescent="0.25">
      <c r="A47" s="51">
        <v>26</v>
      </c>
      <c r="B47" s="119" t="s">
        <v>270</v>
      </c>
      <c r="C47" s="285" t="s">
        <v>269</v>
      </c>
      <c r="D47" s="286"/>
      <c r="E47" s="286"/>
      <c r="F47" s="287"/>
      <c r="G47" s="92" t="s">
        <v>149</v>
      </c>
      <c r="H47" s="122">
        <v>0.01</v>
      </c>
      <c r="I47" s="84">
        <f>293/H47</f>
        <v>29300</v>
      </c>
      <c r="J47" s="127">
        <f t="shared" si="7"/>
        <v>293</v>
      </c>
      <c r="K47" s="66">
        <f t="shared" si="1"/>
        <v>1.1098421303374999</v>
      </c>
      <c r="L47" s="65">
        <f t="shared" si="2"/>
        <v>325.18374418888749</v>
      </c>
      <c r="M47" s="65">
        <f t="shared" si="3"/>
        <v>390.220493026665</v>
      </c>
    </row>
    <row r="48" spans="1:13" ht="32.25" customHeight="1" x14ac:dyDescent="0.25">
      <c r="A48" s="51">
        <v>27</v>
      </c>
      <c r="B48" s="119" t="s">
        <v>138</v>
      </c>
      <c r="C48" s="285" t="s">
        <v>225</v>
      </c>
      <c r="D48" s="286"/>
      <c r="E48" s="286"/>
      <c r="F48" s="287"/>
      <c r="G48" s="92" t="s">
        <v>151</v>
      </c>
      <c r="H48" s="120">
        <v>1</v>
      </c>
      <c r="I48" s="84">
        <v>647</v>
      </c>
      <c r="J48" s="128">
        <f t="shared" si="7"/>
        <v>647</v>
      </c>
      <c r="K48" s="66">
        <f t="shared" si="1"/>
        <v>1.1098421303374999</v>
      </c>
      <c r="L48" s="65">
        <f t="shared" si="2"/>
        <v>718.06785832836249</v>
      </c>
      <c r="M48" s="65">
        <f t="shared" si="3"/>
        <v>861.68142999403494</v>
      </c>
    </row>
    <row r="49" spans="1:16" ht="31.5" customHeight="1" x14ac:dyDescent="0.25">
      <c r="A49" s="51">
        <v>28</v>
      </c>
      <c r="B49" s="119" t="s">
        <v>157</v>
      </c>
      <c r="C49" s="285" t="s">
        <v>175</v>
      </c>
      <c r="D49" s="286"/>
      <c r="E49" s="286"/>
      <c r="F49" s="287"/>
      <c r="G49" s="92" t="s">
        <v>176</v>
      </c>
      <c r="H49" s="120">
        <v>1</v>
      </c>
      <c r="I49" s="84">
        <v>483</v>
      </c>
      <c r="J49" s="128">
        <f t="shared" si="7"/>
        <v>483</v>
      </c>
      <c r="K49" s="66">
        <f t="shared" si="1"/>
        <v>1.1098421303374999</v>
      </c>
      <c r="L49" s="65">
        <f t="shared" si="2"/>
        <v>536.05374895301247</v>
      </c>
      <c r="M49" s="65">
        <f t="shared" si="3"/>
        <v>643.26449874361492</v>
      </c>
    </row>
    <row r="50" spans="1:16" ht="43.5" customHeight="1" x14ac:dyDescent="0.25">
      <c r="A50" s="51">
        <v>29</v>
      </c>
      <c r="B50" s="119" t="s">
        <v>244</v>
      </c>
      <c r="C50" s="285" t="s">
        <v>62</v>
      </c>
      <c r="D50" s="286"/>
      <c r="E50" s="286"/>
      <c r="F50" s="287"/>
      <c r="G50" s="129" t="s">
        <v>145</v>
      </c>
      <c r="H50" s="122">
        <v>5.5199999999999999E-2</v>
      </c>
      <c r="I50" s="130">
        <f>2336/H50</f>
        <v>42318.840579710144</v>
      </c>
      <c r="J50" s="131">
        <f t="shared" si="7"/>
        <v>2336</v>
      </c>
      <c r="K50" s="66">
        <f t="shared" si="1"/>
        <v>1.1098421303374999</v>
      </c>
      <c r="L50" s="65">
        <f t="shared" si="2"/>
        <v>2592.5912164683996</v>
      </c>
      <c r="M50" s="65">
        <f t="shared" si="3"/>
        <v>3111.1094597620795</v>
      </c>
    </row>
    <row r="51" spans="1:16" ht="35.25" customHeight="1" x14ac:dyDescent="0.25">
      <c r="A51" s="51">
        <v>30</v>
      </c>
      <c r="B51" s="119" t="s">
        <v>158</v>
      </c>
      <c r="C51" s="285" t="s">
        <v>177</v>
      </c>
      <c r="D51" s="286"/>
      <c r="E51" s="286"/>
      <c r="F51" s="287"/>
      <c r="G51" s="129" t="s">
        <v>145</v>
      </c>
      <c r="H51" s="122">
        <v>5.5199999999999999E-2</v>
      </c>
      <c r="I51" s="130">
        <f>3750/H51</f>
        <v>67934.782608695648</v>
      </c>
      <c r="J51" s="131">
        <f t="shared" si="7"/>
        <v>3749.9999999999995</v>
      </c>
      <c r="K51" s="66">
        <f t="shared" si="1"/>
        <v>1.1098421303374999</v>
      </c>
      <c r="L51" s="65">
        <f t="shared" si="2"/>
        <v>4161.9079887656244</v>
      </c>
      <c r="M51" s="65">
        <f t="shared" si="3"/>
        <v>4994.2895865187493</v>
      </c>
    </row>
    <row r="52" spans="1:16" ht="43.5" customHeight="1" x14ac:dyDescent="0.25">
      <c r="A52" s="51">
        <v>31</v>
      </c>
      <c r="B52" s="119" t="s">
        <v>63</v>
      </c>
      <c r="C52" s="285" t="s">
        <v>9</v>
      </c>
      <c r="D52" s="286"/>
      <c r="E52" s="286"/>
      <c r="F52" s="287"/>
      <c r="G52" s="129" t="s">
        <v>178</v>
      </c>
      <c r="H52" s="120">
        <v>1</v>
      </c>
      <c r="I52" s="130">
        <v>6957</v>
      </c>
      <c r="J52" s="131">
        <f t="shared" si="7"/>
        <v>6957</v>
      </c>
      <c r="K52" s="66">
        <f t="shared" si="1"/>
        <v>1.1098421303374999</v>
      </c>
      <c r="L52" s="65">
        <f t="shared" si="2"/>
        <v>7721.1717007579864</v>
      </c>
      <c r="M52" s="65">
        <f t="shared" si="3"/>
        <v>9265.4060409095837</v>
      </c>
    </row>
    <row r="53" spans="1:16" ht="49.5" customHeight="1" x14ac:dyDescent="0.25">
      <c r="A53" s="51">
        <v>32</v>
      </c>
      <c r="B53" s="119" t="s">
        <v>245</v>
      </c>
      <c r="C53" s="285" t="s">
        <v>64</v>
      </c>
      <c r="D53" s="286"/>
      <c r="E53" s="286"/>
      <c r="F53" s="287"/>
      <c r="G53" s="129" t="s">
        <v>151</v>
      </c>
      <c r="H53" s="120">
        <v>1</v>
      </c>
      <c r="I53" s="130">
        <v>4449</v>
      </c>
      <c r="J53" s="131">
        <f t="shared" si="7"/>
        <v>4449</v>
      </c>
      <c r="K53" s="66">
        <f t="shared" si="1"/>
        <v>1.1098421303374999</v>
      </c>
      <c r="L53" s="65">
        <f t="shared" si="2"/>
        <v>4937.6876378715369</v>
      </c>
      <c r="M53" s="65">
        <f t="shared" si="3"/>
        <v>5925.2251654458441</v>
      </c>
    </row>
    <row r="54" spans="1:16" ht="28.5" customHeight="1" x14ac:dyDescent="0.25">
      <c r="A54" s="51">
        <v>33</v>
      </c>
      <c r="B54" s="119" t="s">
        <v>159</v>
      </c>
      <c r="C54" s="285" t="s">
        <v>65</v>
      </c>
      <c r="D54" s="286"/>
      <c r="E54" s="286"/>
      <c r="F54" s="287"/>
      <c r="G54" s="129" t="s">
        <v>151</v>
      </c>
      <c r="H54" s="120">
        <v>1</v>
      </c>
      <c r="I54" s="130">
        <v>1372</v>
      </c>
      <c r="J54" s="131">
        <f t="shared" si="7"/>
        <v>1372</v>
      </c>
      <c r="K54" s="66">
        <f t="shared" si="1"/>
        <v>1.1098421303374999</v>
      </c>
      <c r="L54" s="65">
        <f t="shared" si="2"/>
        <v>1522.7034028230498</v>
      </c>
      <c r="M54" s="65">
        <f t="shared" si="3"/>
        <v>1827.2440833876597</v>
      </c>
    </row>
    <row r="55" spans="1:16" ht="33" customHeight="1" x14ac:dyDescent="0.25">
      <c r="A55" s="51">
        <v>34</v>
      </c>
      <c r="B55" s="119" t="s">
        <v>160</v>
      </c>
      <c r="C55" s="285" t="s">
        <v>66</v>
      </c>
      <c r="D55" s="286"/>
      <c r="E55" s="286"/>
      <c r="F55" s="287"/>
      <c r="G55" s="92" t="s">
        <v>151</v>
      </c>
      <c r="H55" s="120">
        <v>1</v>
      </c>
      <c r="I55" s="121">
        <v>4015</v>
      </c>
      <c r="J55" s="132">
        <f>I55*H55</f>
        <v>4015</v>
      </c>
      <c r="K55" s="66">
        <f t="shared" si="1"/>
        <v>1.1098421303374999</v>
      </c>
      <c r="L55" s="65">
        <f t="shared" si="2"/>
        <v>4456.0161533050623</v>
      </c>
      <c r="M55" s="65">
        <f t="shared" si="3"/>
        <v>5347.2193839660749</v>
      </c>
    </row>
    <row r="56" spans="1:16" ht="30" customHeight="1" x14ac:dyDescent="0.25">
      <c r="A56" s="51">
        <v>35</v>
      </c>
      <c r="B56" s="119" t="s">
        <v>161</v>
      </c>
      <c r="C56" s="285" t="s">
        <v>67</v>
      </c>
      <c r="D56" s="286"/>
      <c r="E56" s="286"/>
      <c r="F56" s="287"/>
      <c r="G56" s="92" t="s">
        <v>151</v>
      </c>
      <c r="H56" s="120">
        <v>1</v>
      </c>
      <c r="I56" s="121">
        <v>5854</v>
      </c>
      <c r="J56" s="132">
        <f>I56*H56</f>
        <v>5854</v>
      </c>
      <c r="K56" s="66">
        <f t="shared" si="1"/>
        <v>1.1098421303374999</v>
      </c>
      <c r="L56" s="65">
        <f t="shared" si="2"/>
        <v>6497.0158309957242</v>
      </c>
      <c r="M56" s="65">
        <f t="shared" si="3"/>
        <v>7796.418997194869</v>
      </c>
    </row>
    <row r="57" spans="1:16" ht="51" customHeight="1" x14ac:dyDescent="0.25">
      <c r="A57" s="51">
        <v>36</v>
      </c>
      <c r="B57" s="119" t="s">
        <v>201</v>
      </c>
      <c r="C57" s="285" t="s">
        <v>75</v>
      </c>
      <c r="D57" s="286"/>
      <c r="E57" s="286"/>
      <c r="F57" s="287"/>
      <c r="G57" s="92" t="s">
        <v>182</v>
      </c>
      <c r="H57" s="120">
        <v>1</v>
      </c>
      <c r="I57" s="121">
        <f>45464-54.92</f>
        <v>45409.08</v>
      </c>
      <c r="J57" s="132">
        <f>I57*H57</f>
        <v>45409.08</v>
      </c>
      <c r="K57" s="66">
        <f t="shared" si="1"/>
        <v>1.1098421303374999</v>
      </c>
      <c r="L57" s="65">
        <f t="shared" si="2"/>
        <v>50396.910083865965</v>
      </c>
      <c r="M57" s="65">
        <f t="shared" si="3"/>
        <v>60476.292100639155</v>
      </c>
    </row>
    <row r="58" spans="1:16" ht="32.25" customHeight="1" x14ac:dyDescent="0.25">
      <c r="A58" s="51">
        <v>37</v>
      </c>
      <c r="B58" s="119" t="s">
        <v>208</v>
      </c>
      <c r="C58" s="285" t="s">
        <v>226</v>
      </c>
      <c r="D58" s="286"/>
      <c r="E58" s="286"/>
      <c r="F58" s="287"/>
      <c r="G58" s="92" t="s">
        <v>151</v>
      </c>
      <c r="H58" s="120">
        <v>1</v>
      </c>
      <c r="I58" s="84">
        <v>9408</v>
      </c>
      <c r="J58" s="65">
        <f>I58*H58</f>
        <v>9408</v>
      </c>
      <c r="K58" s="66">
        <f t="shared" si="1"/>
        <v>1.1098421303374999</v>
      </c>
      <c r="L58" s="65">
        <f t="shared" si="2"/>
        <v>10441.394762215199</v>
      </c>
      <c r="M58" s="65">
        <f t="shared" si="3"/>
        <v>12529.673714658238</v>
      </c>
    </row>
    <row r="59" spans="1:16" ht="15.75" customHeight="1" x14ac:dyDescent="0.25">
      <c r="A59" s="51">
        <v>38</v>
      </c>
      <c r="B59" s="119"/>
      <c r="C59" s="285" t="s">
        <v>76</v>
      </c>
      <c r="D59" s="286"/>
      <c r="E59" s="286"/>
      <c r="F59" s="287"/>
      <c r="G59" s="92" t="s">
        <v>151</v>
      </c>
      <c r="H59" s="120">
        <v>1</v>
      </c>
      <c r="I59" s="84">
        <v>814</v>
      </c>
      <c r="J59" s="132">
        <f t="shared" ref="J59:J68" si="8">I59*H59</f>
        <v>814</v>
      </c>
      <c r="K59" s="66">
        <f t="shared" si="1"/>
        <v>1.1098421303374999</v>
      </c>
      <c r="L59" s="65">
        <f t="shared" si="2"/>
        <v>903.41149409472496</v>
      </c>
      <c r="M59" s="65">
        <f t="shared" si="3"/>
        <v>1084.0937929136699</v>
      </c>
    </row>
    <row r="60" spans="1:16" ht="37.5" customHeight="1" x14ac:dyDescent="0.25">
      <c r="A60" s="51">
        <v>39</v>
      </c>
      <c r="B60" s="119" t="s">
        <v>209</v>
      </c>
      <c r="C60" s="285" t="s">
        <v>227</v>
      </c>
      <c r="D60" s="286"/>
      <c r="E60" s="286"/>
      <c r="F60" s="287"/>
      <c r="G60" s="92" t="s">
        <v>149</v>
      </c>
      <c r="H60" s="122">
        <v>0.01</v>
      </c>
      <c r="I60" s="84">
        <f>121/H60</f>
        <v>12100</v>
      </c>
      <c r="J60" s="132">
        <f t="shared" si="8"/>
        <v>121</v>
      </c>
      <c r="K60" s="66">
        <f t="shared" si="1"/>
        <v>1.1098421303374999</v>
      </c>
      <c r="L60" s="65">
        <f t="shared" si="2"/>
        <v>134.29089777083749</v>
      </c>
      <c r="M60" s="65">
        <f t="shared" si="3"/>
        <v>161.14907732500498</v>
      </c>
    </row>
    <row r="61" spans="1:16" ht="20.25" customHeight="1" x14ac:dyDescent="0.25">
      <c r="A61" s="51">
        <v>40</v>
      </c>
      <c r="B61" s="119"/>
      <c r="C61" s="285" t="s">
        <v>77</v>
      </c>
      <c r="D61" s="286"/>
      <c r="E61" s="286"/>
      <c r="F61" s="287"/>
      <c r="G61" s="92" t="s">
        <v>186</v>
      </c>
      <c r="H61" s="120">
        <v>1</v>
      </c>
      <c r="I61" s="84">
        <v>90</v>
      </c>
      <c r="J61" s="132">
        <f t="shared" si="8"/>
        <v>90</v>
      </c>
      <c r="K61" s="66">
        <f t="shared" si="1"/>
        <v>1.1098421303374999</v>
      </c>
      <c r="L61" s="65">
        <f t="shared" si="2"/>
        <v>99.88579173037499</v>
      </c>
      <c r="M61" s="65">
        <f t="shared" si="3"/>
        <v>119.86295007644998</v>
      </c>
    </row>
    <row r="62" spans="1:16" ht="26.25" customHeight="1" x14ac:dyDescent="0.25">
      <c r="A62" s="51">
        <v>41</v>
      </c>
      <c r="B62" s="119" t="s">
        <v>210</v>
      </c>
      <c r="C62" s="285" t="s">
        <v>78</v>
      </c>
      <c r="D62" s="286"/>
      <c r="E62" s="286"/>
      <c r="F62" s="287"/>
      <c r="G62" s="92" t="s">
        <v>149</v>
      </c>
      <c r="H62" s="122">
        <v>1</v>
      </c>
      <c r="I62" s="84">
        <v>809</v>
      </c>
      <c r="J62" s="132">
        <f t="shared" si="8"/>
        <v>809</v>
      </c>
      <c r="K62" s="66">
        <f t="shared" si="1"/>
        <v>1.1098421303374999</v>
      </c>
      <c r="L62" s="65">
        <f t="shared" si="2"/>
        <v>897.86228344303743</v>
      </c>
      <c r="M62" s="65">
        <f t="shared" si="3"/>
        <v>1077.434740131645</v>
      </c>
    </row>
    <row r="63" spans="1:16" ht="36" customHeight="1" x14ac:dyDescent="0.25">
      <c r="A63" s="51">
        <v>42</v>
      </c>
      <c r="B63" s="119" t="s">
        <v>211</v>
      </c>
      <c r="C63" s="285" t="s">
        <v>79</v>
      </c>
      <c r="D63" s="286"/>
      <c r="E63" s="286"/>
      <c r="F63" s="287"/>
      <c r="G63" s="92" t="s">
        <v>149</v>
      </c>
      <c r="H63" s="122">
        <v>1</v>
      </c>
      <c r="I63" s="84">
        <v>623</v>
      </c>
      <c r="J63" s="132">
        <f t="shared" si="8"/>
        <v>623</v>
      </c>
      <c r="K63" s="66">
        <f t="shared" si="1"/>
        <v>1.1098421303374999</v>
      </c>
      <c r="L63" s="65">
        <f t="shared" si="2"/>
        <v>691.43164720026243</v>
      </c>
      <c r="M63" s="65">
        <f t="shared" si="3"/>
        <v>829.71797664031487</v>
      </c>
      <c r="P63" s="28"/>
    </row>
    <row r="64" spans="1:16" ht="45.75" customHeight="1" x14ac:dyDescent="0.25">
      <c r="A64" s="51">
        <v>43</v>
      </c>
      <c r="B64" s="119" t="s">
        <v>212</v>
      </c>
      <c r="C64" s="285" t="s">
        <v>80</v>
      </c>
      <c r="D64" s="286"/>
      <c r="E64" s="286"/>
      <c r="F64" s="287"/>
      <c r="G64" s="92" t="s">
        <v>151</v>
      </c>
      <c r="H64" s="122">
        <v>1</v>
      </c>
      <c r="I64" s="84">
        <v>3136</v>
      </c>
      <c r="J64" s="132">
        <f t="shared" si="8"/>
        <v>3136</v>
      </c>
      <c r="K64" s="66">
        <f t="shared" si="1"/>
        <v>1.1098421303374999</v>
      </c>
      <c r="L64" s="65">
        <f t="shared" si="2"/>
        <v>3480.4649207383995</v>
      </c>
      <c r="M64" s="65">
        <f t="shared" si="3"/>
        <v>4176.5579048860791</v>
      </c>
    </row>
    <row r="65" spans="1:13" ht="15.75" customHeight="1" x14ac:dyDescent="0.25">
      <c r="A65" s="51">
        <v>44</v>
      </c>
      <c r="B65" s="119"/>
      <c r="C65" s="285" t="s">
        <v>81</v>
      </c>
      <c r="D65" s="286"/>
      <c r="E65" s="286"/>
      <c r="F65" s="287"/>
      <c r="G65" s="92" t="s">
        <v>186</v>
      </c>
      <c r="H65" s="133">
        <v>1</v>
      </c>
      <c r="I65" s="84">
        <v>677</v>
      </c>
      <c r="J65" s="132">
        <f t="shared" si="8"/>
        <v>677</v>
      </c>
      <c r="K65" s="66">
        <f t="shared" si="1"/>
        <v>1.1098421303374999</v>
      </c>
      <c r="L65" s="65">
        <f t="shared" si="2"/>
        <v>751.36312223848745</v>
      </c>
      <c r="M65" s="65">
        <f t="shared" si="3"/>
        <v>901.63574668618492</v>
      </c>
    </row>
    <row r="66" spans="1:13" ht="44.25" customHeight="1" x14ac:dyDescent="0.25">
      <c r="A66" s="51">
        <v>45</v>
      </c>
      <c r="B66" s="119" t="s">
        <v>213</v>
      </c>
      <c r="C66" s="285" t="s">
        <v>271</v>
      </c>
      <c r="D66" s="286"/>
      <c r="E66" s="286"/>
      <c r="F66" s="287"/>
      <c r="G66" s="150" t="s">
        <v>149</v>
      </c>
      <c r="H66" s="122">
        <v>0.01</v>
      </c>
      <c r="I66" s="84">
        <f>225/H66</f>
        <v>22500</v>
      </c>
      <c r="J66" s="132">
        <f t="shared" ref="J66:J67" si="9">I66*H66</f>
        <v>225</v>
      </c>
      <c r="K66" s="66">
        <f t="shared" si="1"/>
        <v>1.1098421303374999</v>
      </c>
      <c r="L66" s="65">
        <f t="shared" ref="L66:L67" si="10">J66*K66</f>
        <v>249.71447932593748</v>
      </c>
      <c r="M66" s="65">
        <f t="shared" ref="M66:M67" si="11">L66*1.2</f>
        <v>299.65737519112497</v>
      </c>
    </row>
    <row r="67" spans="1:13" ht="44.25" customHeight="1" x14ac:dyDescent="0.25">
      <c r="A67" s="51">
        <v>46</v>
      </c>
      <c r="B67" s="119" t="s">
        <v>213</v>
      </c>
      <c r="C67" s="285" t="s">
        <v>272</v>
      </c>
      <c r="D67" s="286"/>
      <c r="E67" s="286"/>
      <c r="F67" s="287"/>
      <c r="G67" s="150" t="s">
        <v>149</v>
      </c>
      <c r="H67" s="122">
        <v>0.01</v>
      </c>
      <c r="I67" s="84">
        <f>180/H67</f>
        <v>18000</v>
      </c>
      <c r="J67" s="132">
        <f t="shared" si="9"/>
        <v>180</v>
      </c>
      <c r="K67" s="66">
        <f t="shared" si="1"/>
        <v>1.1098421303374999</v>
      </c>
      <c r="L67" s="65">
        <f t="shared" si="10"/>
        <v>199.77158346074998</v>
      </c>
      <c r="M67" s="65">
        <f t="shared" si="11"/>
        <v>239.72590015289995</v>
      </c>
    </row>
    <row r="68" spans="1:13" ht="44.25" customHeight="1" x14ac:dyDescent="0.25">
      <c r="A68" s="51">
        <v>47</v>
      </c>
      <c r="B68" s="119" t="s">
        <v>213</v>
      </c>
      <c r="C68" s="285" t="s">
        <v>273</v>
      </c>
      <c r="D68" s="286"/>
      <c r="E68" s="286"/>
      <c r="F68" s="287"/>
      <c r="G68" s="92" t="s">
        <v>149</v>
      </c>
      <c r="H68" s="122">
        <v>0.01</v>
      </c>
      <c r="I68" s="84">
        <f>198/H68</f>
        <v>19800</v>
      </c>
      <c r="J68" s="132">
        <f t="shared" si="8"/>
        <v>198</v>
      </c>
      <c r="K68" s="66">
        <f t="shared" si="1"/>
        <v>1.1098421303374999</v>
      </c>
      <c r="L68" s="65">
        <f t="shared" si="2"/>
        <v>219.74874180682497</v>
      </c>
      <c r="M68" s="65">
        <f t="shared" si="3"/>
        <v>263.69849016818995</v>
      </c>
    </row>
    <row r="69" spans="1:13" ht="51" customHeight="1" x14ac:dyDescent="0.25">
      <c r="A69" s="51">
        <v>48</v>
      </c>
      <c r="B69" s="119" t="s">
        <v>214</v>
      </c>
      <c r="C69" s="285" t="s">
        <v>228</v>
      </c>
      <c r="D69" s="286"/>
      <c r="E69" s="286"/>
      <c r="F69" s="287"/>
      <c r="G69" s="92" t="s">
        <v>182</v>
      </c>
      <c r="H69" s="122">
        <v>1.0449999999999999</v>
      </c>
      <c r="I69" s="84">
        <f>186794/H69</f>
        <v>178750.23923444978</v>
      </c>
      <c r="J69" s="132">
        <f>H69*I69</f>
        <v>186794</v>
      </c>
      <c r="K69" s="66">
        <f t="shared" si="1"/>
        <v>1.1098421303374999</v>
      </c>
      <c r="L69" s="65">
        <f t="shared" si="2"/>
        <v>207311.85089426296</v>
      </c>
      <c r="M69" s="65">
        <f t="shared" si="3"/>
        <v>248774.22107311554</v>
      </c>
    </row>
    <row r="70" spans="1:13" ht="48" customHeight="1" x14ac:dyDescent="0.25">
      <c r="A70" s="51">
        <v>49</v>
      </c>
      <c r="B70" s="119" t="s">
        <v>215</v>
      </c>
      <c r="C70" s="285" t="s">
        <v>229</v>
      </c>
      <c r="D70" s="286"/>
      <c r="E70" s="286"/>
      <c r="F70" s="287"/>
      <c r="G70" s="92" t="s">
        <v>182</v>
      </c>
      <c r="H70" s="122">
        <v>1.0449999999999999</v>
      </c>
      <c r="I70" s="84">
        <f>169046/H70</f>
        <v>161766.50717703349</v>
      </c>
      <c r="J70" s="132">
        <f>H70*I70</f>
        <v>169046</v>
      </c>
      <c r="K70" s="66">
        <f t="shared" si="1"/>
        <v>1.1098421303374999</v>
      </c>
      <c r="L70" s="65">
        <f t="shared" si="2"/>
        <v>187614.37276503301</v>
      </c>
      <c r="M70" s="65">
        <f t="shared" si="3"/>
        <v>225137.24731803962</v>
      </c>
    </row>
    <row r="71" spans="1:13" ht="33.75" customHeight="1" x14ac:dyDescent="0.25">
      <c r="A71" s="51">
        <v>50</v>
      </c>
      <c r="B71" s="119" t="s">
        <v>167</v>
      </c>
      <c r="C71" s="285" t="s">
        <v>82</v>
      </c>
      <c r="D71" s="286"/>
      <c r="E71" s="286"/>
      <c r="F71" s="287"/>
      <c r="G71" s="92" t="s">
        <v>185</v>
      </c>
      <c r="H71" s="120">
        <v>1</v>
      </c>
      <c r="I71" s="84">
        <v>720</v>
      </c>
      <c r="J71" s="132">
        <f>H71*I71</f>
        <v>720</v>
      </c>
      <c r="K71" s="66">
        <f t="shared" si="1"/>
        <v>1.1098421303374999</v>
      </c>
      <c r="L71" s="65">
        <f t="shared" si="2"/>
        <v>799.08633384299992</v>
      </c>
      <c r="M71" s="65">
        <f t="shared" si="3"/>
        <v>958.90360061159981</v>
      </c>
    </row>
    <row r="72" spans="1:13" ht="35.25" customHeight="1" x14ac:dyDescent="0.25">
      <c r="A72" s="51">
        <v>51</v>
      </c>
      <c r="B72" s="119" t="s">
        <v>216</v>
      </c>
      <c r="C72" s="285" t="s">
        <v>83</v>
      </c>
      <c r="D72" s="286"/>
      <c r="E72" s="286"/>
      <c r="F72" s="287"/>
      <c r="G72" s="92" t="s">
        <v>151</v>
      </c>
      <c r="H72" s="120">
        <v>1</v>
      </c>
      <c r="I72" s="84">
        <v>2882</v>
      </c>
      <c r="J72" s="132">
        <f>H72*I72</f>
        <v>2882</v>
      </c>
      <c r="K72" s="66">
        <f t="shared" si="1"/>
        <v>1.1098421303374999</v>
      </c>
      <c r="L72" s="65">
        <f t="shared" si="2"/>
        <v>3198.5650196326746</v>
      </c>
      <c r="M72" s="65">
        <f t="shared" si="3"/>
        <v>3838.2780235592095</v>
      </c>
    </row>
    <row r="73" spans="1:13" x14ac:dyDescent="0.25">
      <c r="A73" s="288" t="s">
        <v>69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88">
        <f>SUM(M22:M72)</f>
        <v>799046.39611621003</v>
      </c>
    </row>
    <row r="74" spans="1:13" x14ac:dyDescent="0.25">
      <c r="A74" s="75"/>
      <c r="B74" s="246" t="s">
        <v>70</v>
      </c>
      <c r="C74" s="246"/>
      <c r="D74" s="246"/>
      <c r="E74" s="246"/>
      <c r="F74" s="246"/>
      <c r="G74" s="75"/>
      <c r="H74" s="75"/>
      <c r="I74" s="134"/>
      <c r="J74" s="75"/>
      <c r="K74" s="75"/>
      <c r="L74" s="75"/>
      <c r="M74" s="27"/>
    </row>
    <row r="75" spans="1:13" x14ac:dyDescent="0.25">
      <c r="A75" s="51">
        <v>1</v>
      </c>
      <c r="B75" s="247" t="s">
        <v>11</v>
      </c>
      <c r="C75" s="248"/>
      <c r="D75" s="248"/>
      <c r="E75" s="248"/>
      <c r="F75" s="249"/>
      <c r="G75" s="51" t="s">
        <v>68</v>
      </c>
      <c r="H75" s="51">
        <v>1</v>
      </c>
      <c r="I75" s="135"/>
      <c r="J75" s="60"/>
      <c r="K75" s="60"/>
      <c r="L75" s="60"/>
      <c r="M75" s="89">
        <f>M25+M22+M58+M71*3</f>
        <v>22875.178116812276</v>
      </c>
    </row>
    <row r="76" spans="1:13" x14ac:dyDescent="0.25">
      <c r="A76" s="51">
        <v>2</v>
      </c>
      <c r="B76" s="251" t="s">
        <v>12</v>
      </c>
      <c r="C76" s="252"/>
      <c r="D76" s="252"/>
      <c r="E76" s="252"/>
      <c r="F76" s="253"/>
      <c r="G76" s="51" t="s">
        <v>68</v>
      </c>
      <c r="H76" s="51">
        <v>1</v>
      </c>
      <c r="I76" s="135"/>
      <c r="J76" s="60"/>
      <c r="K76" s="60"/>
      <c r="L76" s="60"/>
      <c r="M76" s="88">
        <f>M26+M22*2+M58*2+M59+M71*3*2</f>
        <v>47408.460376348783</v>
      </c>
    </row>
    <row r="77" spans="1:13" x14ac:dyDescent="0.25">
      <c r="A77" s="51">
        <v>3</v>
      </c>
      <c r="B77" s="243" t="s">
        <v>13</v>
      </c>
      <c r="C77" s="244"/>
      <c r="D77" s="244"/>
      <c r="E77" s="244"/>
      <c r="F77" s="245"/>
      <c r="G77" s="51" t="s">
        <v>68</v>
      </c>
      <c r="H77" s="51">
        <v>1</v>
      </c>
      <c r="I77" s="135"/>
      <c r="J77" s="60"/>
      <c r="K77" s="60"/>
      <c r="L77" s="60"/>
      <c r="M77" s="88">
        <f>M27+M22*3+M58*3+M59*2+M71*3*3</f>
        <v>72210.768368279096</v>
      </c>
    </row>
    <row r="78" spans="1:13" x14ac:dyDescent="0.25">
      <c r="A78" s="51">
        <v>4</v>
      </c>
      <c r="B78" s="243" t="s">
        <v>14</v>
      </c>
      <c r="C78" s="244"/>
      <c r="D78" s="244"/>
      <c r="E78" s="244"/>
      <c r="F78" s="245"/>
      <c r="G78" s="51" t="s">
        <v>68</v>
      </c>
      <c r="H78" s="51">
        <v>1</v>
      </c>
      <c r="I78" s="135"/>
      <c r="J78" s="60"/>
      <c r="K78" s="60"/>
      <c r="L78" s="60"/>
      <c r="M78" s="88">
        <f>M23*18+M24*8+M29+M60*4+M62+M63*31+M64*26+M69</f>
        <v>534243.81840685802</v>
      </c>
    </row>
    <row r="79" spans="1:13" x14ac:dyDescent="0.25">
      <c r="A79" s="51">
        <v>5</v>
      </c>
      <c r="B79" s="243" t="s">
        <v>15</v>
      </c>
      <c r="C79" s="244"/>
      <c r="D79" s="244"/>
      <c r="E79" s="244"/>
      <c r="F79" s="245"/>
      <c r="G79" s="51" t="s">
        <v>68</v>
      </c>
      <c r="H79" s="51">
        <v>1</v>
      </c>
      <c r="I79" s="135"/>
      <c r="J79" s="60"/>
      <c r="K79" s="60"/>
      <c r="L79" s="60"/>
      <c r="M79" s="88">
        <f>M23*18+M24*8+M29+M60*4+M62+M63*31+M64*26+M70</f>
        <v>510606.84465178207</v>
      </c>
    </row>
    <row r="80" spans="1:13" x14ac:dyDescent="0.25">
      <c r="A80" s="51">
        <v>6</v>
      </c>
      <c r="B80" s="240" t="s">
        <v>2</v>
      </c>
      <c r="C80" s="241"/>
      <c r="D80" s="241"/>
      <c r="E80" s="241"/>
      <c r="F80" s="242"/>
      <c r="G80" s="51" t="s">
        <v>68</v>
      </c>
      <c r="H80" s="51">
        <v>1</v>
      </c>
      <c r="I80" s="135"/>
      <c r="J80" s="60"/>
      <c r="K80" s="60"/>
      <c r="L80" s="60"/>
      <c r="M80" s="88">
        <f>M53</f>
        <v>5925.2251654458441</v>
      </c>
    </row>
    <row r="81" spans="1:14" x14ac:dyDescent="0.25">
      <c r="A81" s="51">
        <v>7</v>
      </c>
      <c r="B81" s="240" t="s">
        <v>3</v>
      </c>
      <c r="C81" s="241"/>
      <c r="D81" s="241"/>
      <c r="E81" s="241"/>
      <c r="F81" s="242"/>
      <c r="G81" s="51" t="s">
        <v>68</v>
      </c>
      <c r="H81" s="51">
        <v>1</v>
      </c>
      <c r="I81" s="135"/>
      <c r="J81" s="60"/>
      <c r="K81" s="60"/>
      <c r="L81" s="60"/>
      <c r="M81" s="88">
        <f>M54</f>
        <v>1827.2440833876597</v>
      </c>
    </row>
    <row r="82" spans="1:14" x14ac:dyDescent="0.25">
      <c r="A82" s="51">
        <v>8</v>
      </c>
      <c r="B82" s="240" t="s">
        <v>4</v>
      </c>
      <c r="C82" s="241"/>
      <c r="D82" s="241"/>
      <c r="E82" s="241"/>
      <c r="F82" s="242"/>
      <c r="G82" s="51" t="s">
        <v>68</v>
      </c>
      <c r="H82" s="51">
        <v>1</v>
      </c>
      <c r="I82" s="135"/>
      <c r="J82" s="60"/>
      <c r="K82" s="60"/>
      <c r="L82" s="60"/>
      <c r="M82" s="88">
        <f t="shared" ref="M82:M83" si="12">M55</f>
        <v>5347.2193839660749</v>
      </c>
    </row>
    <row r="83" spans="1:14" x14ac:dyDescent="0.25">
      <c r="A83" s="51">
        <v>9</v>
      </c>
      <c r="B83" s="240" t="s">
        <v>5</v>
      </c>
      <c r="C83" s="241"/>
      <c r="D83" s="241"/>
      <c r="E83" s="241"/>
      <c r="F83" s="242"/>
      <c r="G83" s="51" t="s">
        <v>68</v>
      </c>
      <c r="H83" s="51">
        <v>1</v>
      </c>
      <c r="I83" s="135"/>
      <c r="J83" s="60"/>
      <c r="K83" s="60"/>
      <c r="L83" s="60"/>
      <c r="M83" s="88">
        <f t="shared" si="12"/>
        <v>7796.418997194869</v>
      </c>
    </row>
    <row r="84" spans="1:14" x14ac:dyDescent="0.25">
      <c r="A84" s="51">
        <v>10</v>
      </c>
      <c r="B84" s="240" t="s">
        <v>16</v>
      </c>
      <c r="C84" s="241"/>
      <c r="D84" s="241"/>
      <c r="E84" s="241"/>
      <c r="F84" s="242"/>
      <c r="G84" s="51" t="s">
        <v>68</v>
      </c>
      <c r="H84" s="51">
        <v>1</v>
      </c>
      <c r="I84" s="135"/>
      <c r="J84" s="60"/>
      <c r="K84" s="60"/>
      <c r="L84" s="60"/>
      <c r="M84" s="88">
        <f>M57</f>
        <v>60476.292100639155</v>
      </c>
    </row>
    <row r="85" spans="1:14" x14ac:dyDescent="0.25">
      <c r="A85" s="51">
        <v>11</v>
      </c>
      <c r="B85" s="279" t="s">
        <v>98</v>
      </c>
      <c r="C85" s="280"/>
      <c r="D85" s="280"/>
      <c r="E85" s="280"/>
      <c r="F85" s="281"/>
      <c r="G85" s="51" t="s">
        <v>68</v>
      </c>
      <c r="H85" s="51">
        <v>1</v>
      </c>
      <c r="I85" s="135"/>
      <c r="J85" s="60"/>
      <c r="K85" s="60"/>
      <c r="L85" s="60"/>
      <c r="M85" s="88">
        <f>M31+M32+M33+M34</f>
        <v>3218.9861148308851</v>
      </c>
    </row>
    <row r="86" spans="1:14" x14ac:dyDescent="0.25">
      <c r="A86" s="51">
        <v>12</v>
      </c>
      <c r="B86" s="282" t="s">
        <v>9</v>
      </c>
      <c r="C86" s="283"/>
      <c r="D86" s="283"/>
      <c r="E86" s="283"/>
      <c r="F86" s="284"/>
      <c r="G86" s="51" t="s">
        <v>68</v>
      </c>
      <c r="H86" s="51">
        <v>1</v>
      </c>
      <c r="I86" s="135"/>
      <c r="J86" s="60"/>
      <c r="K86" s="60"/>
      <c r="L86" s="60"/>
      <c r="M86" s="88">
        <f>M52</f>
        <v>9265.4060409095837</v>
      </c>
    </row>
    <row r="87" spans="1:14" x14ac:dyDescent="0.25">
      <c r="A87" s="51">
        <v>13</v>
      </c>
      <c r="B87" s="233" t="s">
        <v>10</v>
      </c>
      <c r="C87" s="234"/>
      <c r="D87" s="234"/>
      <c r="E87" s="234"/>
      <c r="F87" s="235"/>
      <c r="G87" s="51" t="s">
        <v>68</v>
      </c>
      <c r="H87" s="51">
        <v>1</v>
      </c>
      <c r="I87" s="135"/>
      <c r="J87" s="60"/>
      <c r="K87" s="60"/>
      <c r="L87" s="60"/>
      <c r="M87" s="88">
        <f>M46+M47+M48+M49</f>
        <v>1948.4388440205148</v>
      </c>
    </row>
    <row r="88" spans="1:14" x14ac:dyDescent="0.25">
      <c r="A88" s="153"/>
      <c r="B88" s="154"/>
      <c r="C88" s="154"/>
      <c r="D88" s="154"/>
      <c r="E88" s="154"/>
      <c r="F88" s="154"/>
      <c r="G88" s="153"/>
      <c r="H88" s="153"/>
      <c r="I88" s="134"/>
      <c r="J88" s="75"/>
      <c r="K88" s="75"/>
      <c r="L88" s="75"/>
      <c r="M88" s="27"/>
    </row>
    <row r="89" spans="1:14" x14ac:dyDescent="0.25">
      <c r="A89" s="90"/>
      <c r="C89" s="230"/>
      <c r="D89" s="230"/>
      <c r="E89" s="230"/>
      <c r="F89" s="230"/>
      <c r="G89" s="136"/>
      <c r="H89" s="136"/>
      <c r="I89" s="137"/>
      <c r="J89" s="31"/>
      <c r="K89" s="31"/>
      <c r="L89" s="31"/>
      <c r="M89" s="28"/>
    </row>
    <row r="90" spans="1:14" s="138" customFormat="1" ht="18" customHeight="1" x14ac:dyDescent="0.25">
      <c r="A90" s="277"/>
      <c r="B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</row>
    <row r="91" spans="1:14" s="138" customFormat="1" ht="15.75" customHeight="1" x14ac:dyDescent="0.25">
      <c r="A91" s="278"/>
      <c r="B91" s="278"/>
      <c r="C91" s="278"/>
      <c r="D91" s="278"/>
      <c r="E91" s="278"/>
      <c r="F91" s="278"/>
      <c r="G91" s="278"/>
      <c r="H91" s="278"/>
      <c r="I91" s="278"/>
      <c r="J91" s="278"/>
      <c r="K91" s="278"/>
      <c r="L91" s="278"/>
      <c r="M91" s="278"/>
      <c r="N91" s="278"/>
    </row>
    <row r="92" spans="1:14" s="138" customFormat="1" ht="12.75" customHeight="1" x14ac:dyDescent="0.25">
      <c r="A92" s="139"/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 s="138" customFormat="1" ht="18.75" customHeight="1" x14ac:dyDescent="0.25">
      <c r="A93" s="277"/>
      <c r="B93" s="277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</row>
    <row r="94" spans="1:14" s="138" customFormat="1" ht="18" customHeight="1" x14ac:dyDescent="0.25">
      <c r="A94" s="278"/>
      <c r="B94" s="278"/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M94" s="278"/>
      <c r="N94" s="278"/>
    </row>
    <row r="95" spans="1:14" x14ac:dyDescent="0.25">
      <c r="A95" s="90"/>
      <c r="C95" s="230"/>
      <c r="D95" s="230"/>
      <c r="E95" s="230"/>
      <c r="F95" s="230"/>
      <c r="G95" s="136"/>
      <c r="H95" s="136"/>
      <c r="I95" s="137"/>
      <c r="J95" s="31"/>
      <c r="K95" s="31"/>
      <c r="L95" s="31"/>
      <c r="M95" s="31"/>
    </row>
    <row r="96" spans="1:14" x14ac:dyDescent="0.25">
      <c r="A96" s="90"/>
      <c r="C96" s="230"/>
      <c r="D96" s="230"/>
      <c r="E96" s="230"/>
      <c r="F96" s="230"/>
      <c r="G96" s="136"/>
      <c r="H96" s="136"/>
      <c r="I96" s="137"/>
      <c r="J96" s="31"/>
      <c r="K96" s="31"/>
      <c r="L96" s="31"/>
      <c r="M96" s="31"/>
    </row>
    <row r="97" spans="1:13" x14ac:dyDescent="0.25">
      <c r="A97" s="90"/>
      <c r="C97" s="230"/>
      <c r="D97" s="230"/>
      <c r="E97" s="230"/>
      <c r="F97" s="230"/>
      <c r="G97" s="136"/>
      <c r="H97" s="136"/>
      <c r="I97" s="137"/>
      <c r="J97" s="31"/>
      <c r="K97" s="31"/>
      <c r="L97" s="31"/>
      <c r="M97" s="31"/>
    </row>
    <row r="98" spans="1:13" x14ac:dyDescent="0.25">
      <c r="A98" s="90"/>
      <c r="C98" s="230"/>
      <c r="D98" s="230"/>
      <c r="E98" s="230"/>
      <c r="F98" s="230"/>
      <c r="G98" s="136"/>
      <c r="H98" s="136"/>
      <c r="I98" s="137"/>
      <c r="J98" s="31"/>
      <c r="K98" s="31"/>
      <c r="L98" s="31"/>
      <c r="M98" s="31"/>
    </row>
    <row r="99" spans="1:13" x14ac:dyDescent="0.25">
      <c r="A99" s="90"/>
      <c r="C99" s="230"/>
      <c r="D99" s="230"/>
      <c r="E99" s="230"/>
      <c r="F99" s="230"/>
      <c r="G99" s="136"/>
      <c r="H99" s="136"/>
      <c r="I99" s="137"/>
      <c r="J99" s="31"/>
      <c r="K99" s="31"/>
      <c r="L99" s="31"/>
      <c r="M99" s="31"/>
    </row>
    <row r="100" spans="1:13" x14ac:dyDescent="0.25">
      <c r="A100" s="90"/>
      <c r="C100" s="230"/>
      <c r="D100" s="230"/>
      <c r="E100" s="230"/>
      <c r="F100" s="230"/>
      <c r="G100" s="136"/>
      <c r="H100" s="136"/>
      <c r="I100" s="137"/>
      <c r="J100" s="31"/>
      <c r="K100" s="31"/>
      <c r="L100" s="31"/>
      <c r="M100" s="31"/>
    </row>
    <row r="101" spans="1:13" x14ac:dyDescent="0.25">
      <c r="A101" s="90"/>
      <c r="C101" s="230"/>
      <c r="D101" s="230"/>
      <c r="E101" s="230"/>
      <c r="F101" s="230"/>
      <c r="G101" s="136"/>
      <c r="H101" s="136"/>
      <c r="I101" s="137"/>
      <c r="J101" s="31"/>
      <c r="K101" s="31"/>
      <c r="L101" s="31"/>
      <c r="M101" s="31"/>
    </row>
    <row r="102" spans="1:13" x14ac:dyDescent="0.25">
      <c r="A102" s="90"/>
      <c r="C102" s="230"/>
      <c r="D102" s="230"/>
      <c r="E102" s="230"/>
      <c r="F102" s="230"/>
      <c r="G102" s="136"/>
      <c r="H102" s="136"/>
      <c r="I102" s="137"/>
      <c r="J102" s="31"/>
      <c r="K102" s="31"/>
      <c r="L102" s="31"/>
      <c r="M102" s="31"/>
    </row>
    <row r="103" spans="1:13" x14ac:dyDescent="0.25">
      <c r="A103" s="90"/>
      <c r="C103" s="230"/>
      <c r="D103" s="230"/>
      <c r="E103" s="230"/>
      <c r="F103" s="230"/>
      <c r="G103" s="136"/>
      <c r="H103" s="136"/>
      <c r="I103" s="137"/>
      <c r="J103" s="31"/>
      <c r="K103" s="31"/>
      <c r="L103" s="31"/>
      <c r="M103" s="31"/>
    </row>
    <row r="104" spans="1:13" x14ac:dyDescent="0.25">
      <c r="A104" s="90"/>
      <c r="C104" s="230"/>
      <c r="D104" s="230"/>
      <c r="E104" s="230"/>
      <c r="F104" s="230"/>
      <c r="G104" s="136"/>
      <c r="H104" s="136"/>
      <c r="I104" s="137"/>
      <c r="J104" s="31"/>
      <c r="K104" s="31"/>
      <c r="L104" s="31"/>
      <c r="M104" s="31"/>
    </row>
    <row r="105" spans="1:13" x14ac:dyDescent="0.25">
      <c r="A105" s="90"/>
      <c r="C105" s="230"/>
      <c r="D105" s="230"/>
      <c r="E105" s="230"/>
      <c r="F105" s="230"/>
      <c r="G105" s="136"/>
      <c r="H105" s="136"/>
      <c r="I105" s="137"/>
      <c r="J105" s="31"/>
      <c r="K105" s="31"/>
      <c r="L105" s="31"/>
      <c r="M105" s="31"/>
    </row>
    <row r="106" spans="1:13" x14ac:dyDescent="0.25">
      <c r="A106" s="90"/>
      <c r="C106" s="230"/>
      <c r="D106" s="230"/>
      <c r="E106" s="230"/>
      <c r="F106" s="230"/>
      <c r="G106" s="136"/>
      <c r="H106" s="136"/>
      <c r="I106" s="137"/>
      <c r="J106" s="31"/>
      <c r="K106" s="31"/>
      <c r="L106" s="31"/>
      <c r="M106" s="31"/>
    </row>
    <row r="107" spans="1:13" x14ac:dyDescent="0.25">
      <c r="A107" s="90"/>
      <c r="C107" s="230"/>
      <c r="D107" s="230"/>
      <c r="E107" s="230"/>
      <c r="F107" s="230"/>
      <c r="G107" s="136"/>
      <c r="H107" s="136"/>
      <c r="I107" s="137"/>
      <c r="J107" s="31"/>
      <c r="K107" s="31"/>
      <c r="L107" s="31"/>
      <c r="M107" s="31"/>
    </row>
    <row r="108" spans="1:13" x14ac:dyDescent="0.25">
      <c r="A108" s="90"/>
      <c r="C108" s="230"/>
      <c r="D108" s="230"/>
      <c r="E108" s="230"/>
      <c r="F108" s="230"/>
      <c r="G108" s="136"/>
      <c r="H108" s="136"/>
      <c r="I108" s="137"/>
      <c r="J108" s="31"/>
      <c r="K108" s="31"/>
      <c r="L108" s="31"/>
      <c r="M108" s="31"/>
    </row>
    <row r="109" spans="1:13" x14ac:dyDescent="0.25">
      <c r="A109" s="90"/>
      <c r="C109" s="230"/>
      <c r="D109" s="230"/>
      <c r="E109" s="230"/>
      <c r="F109" s="230"/>
      <c r="G109" s="136"/>
      <c r="H109" s="136"/>
      <c r="I109" s="137"/>
      <c r="J109" s="31"/>
      <c r="K109" s="31"/>
      <c r="L109" s="31"/>
      <c r="M109" s="31"/>
    </row>
    <row r="110" spans="1:13" x14ac:dyDescent="0.25">
      <c r="A110" s="90"/>
      <c r="C110" s="230"/>
      <c r="D110" s="230"/>
      <c r="E110" s="230"/>
      <c r="F110" s="230"/>
      <c r="G110" s="136"/>
      <c r="H110" s="136"/>
      <c r="I110" s="137"/>
      <c r="J110" s="31"/>
      <c r="K110" s="31"/>
      <c r="L110" s="31"/>
      <c r="M110" s="31"/>
    </row>
    <row r="111" spans="1:13" x14ac:dyDescent="0.25">
      <c r="A111" s="90"/>
      <c r="C111" s="230"/>
      <c r="D111" s="230"/>
      <c r="E111" s="230"/>
      <c r="F111" s="230"/>
      <c r="G111" s="136"/>
      <c r="H111" s="136"/>
      <c r="I111" s="137"/>
      <c r="J111" s="31"/>
      <c r="K111" s="31"/>
      <c r="L111" s="31"/>
      <c r="M111" s="31"/>
    </row>
    <row r="112" spans="1:13" x14ac:dyDescent="0.25">
      <c r="A112" s="90"/>
      <c r="C112" s="230"/>
      <c r="D112" s="230"/>
      <c r="E112" s="230"/>
      <c r="F112" s="230"/>
      <c r="G112" s="136"/>
      <c r="H112" s="136"/>
      <c r="I112" s="137"/>
      <c r="J112" s="31"/>
      <c r="K112" s="31"/>
      <c r="L112" s="31"/>
      <c r="M112" s="31"/>
    </row>
    <row r="113" spans="1:13" x14ac:dyDescent="0.25">
      <c r="A113" s="90"/>
      <c r="C113" s="230"/>
      <c r="D113" s="230"/>
      <c r="E113" s="230"/>
      <c r="F113" s="230"/>
      <c r="G113" s="136"/>
      <c r="H113" s="136"/>
      <c r="I113" s="137"/>
      <c r="J113" s="31"/>
      <c r="K113" s="31"/>
      <c r="L113" s="31"/>
      <c r="M113" s="31"/>
    </row>
    <row r="114" spans="1:13" x14ac:dyDescent="0.25">
      <c r="A114" s="90"/>
      <c r="C114" s="230"/>
      <c r="D114" s="230"/>
      <c r="E114" s="230"/>
      <c r="F114" s="230"/>
      <c r="G114" s="136"/>
      <c r="H114" s="136"/>
      <c r="I114" s="137"/>
      <c r="J114" s="31"/>
      <c r="K114" s="31"/>
      <c r="L114" s="31"/>
      <c r="M114" s="31"/>
    </row>
    <row r="115" spans="1:13" x14ac:dyDescent="0.25">
      <c r="A115" s="90"/>
      <c r="C115" s="230"/>
      <c r="D115" s="230"/>
      <c r="E115" s="230"/>
      <c r="F115" s="230"/>
      <c r="G115" s="136"/>
      <c r="H115" s="136"/>
      <c r="I115" s="137"/>
      <c r="J115" s="31"/>
      <c r="K115" s="31"/>
      <c r="L115" s="31"/>
      <c r="M115" s="31"/>
    </row>
    <row r="116" spans="1:13" x14ac:dyDescent="0.25">
      <c r="A116" s="90"/>
      <c r="C116" s="230"/>
      <c r="D116" s="230"/>
      <c r="E116" s="230"/>
      <c r="F116" s="230"/>
      <c r="G116" s="136"/>
      <c r="H116" s="136"/>
      <c r="I116" s="137"/>
      <c r="J116" s="31"/>
      <c r="K116" s="31"/>
      <c r="L116" s="31"/>
      <c r="M116" s="31"/>
    </row>
    <row r="117" spans="1:13" x14ac:dyDescent="0.25">
      <c r="A117" s="90"/>
      <c r="C117" s="230"/>
      <c r="D117" s="230"/>
      <c r="E117" s="230"/>
      <c r="F117" s="230"/>
      <c r="G117" s="136"/>
      <c r="H117" s="136"/>
      <c r="I117" s="137"/>
      <c r="J117" s="31"/>
      <c r="K117" s="31"/>
      <c r="L117" s="31"/>
      <c r="M117" s="31"/>
    </row>
    <row r="118" spans="1:13" x14ac:dyDescent="0.25">
      <c r="A118" s="90"/>
      <c r="C118" s="230"/>
      <c r="D118" s="230"/>
      <c r="E118" s="230"/>
      <c r="F118" s="230"/>
      <c r="G118" s="136"/>
      <c r="H118" s="136"/>
      <c r="I118" s="137"/>
      <c r="J118" s="31"/>
      <c r="K118" s="31"/>
      <c r="L118" s="31"/>
      <c r="M118" s="31"/>
    </row>
    <row r="119" spans="1:13" x14ac:dyDescent="0.25">
      <c r="A119" s="90"/>
      <c r="C119" s="230"/>
      <c r="D119" s="230"/>
      <c r="E119" s="230"/>
      <c r="F119" s="230"/>
      <c r="G119" s="136"/>
      <c r="H119" s="136"/>
      <c r="I119" s="137"/>
      <c r="J119" s="31"/>
      <c r="K119" s="31"/>
      <c r="L119" s="31"/>
      <c r="M119" s="31"/>
    </row>
    <row r="120" spans="1:13" x14ac:dyDescent="0.25">
      <c r="A120" s="90"/>
      <c r="C120" s="230"/>
      <c r="D120" s="230"/>
      <c r="E120" s="230"/>
      <c r="F120" s="230"/>
      <c r="G120" s="136"/>
      <c r="H120" s="136"/>
      <c r="I120" s="137"/>
      <c r="J120" s="31"/>
      <c r="K120" s="31"/>
      <c r="L120" s="31"/>
      <c r="M120" s="31"/>
    </row>
    <row r="121" spans="1:13" x14ac:dyDescent="0.25">
      <c r="A121" s="90"/>
      <c r="C121" s="230"/>
      <c r="D121" s="230"/>
      <c r="E121" s="230"/>
      <c r="F121" s="230"/>
      <c r="G121" s="136"/>
      <c r="H121" s="136"/>
      <c r="I121" s="137"/>
      <c r="J121" s="31"/>
      <c r="K121" s="31"/>
      <c r="L121" s="31"/>
      <c r="M121" s="31"/>
    </row>
    <row r="122" spans="1:13" x14ac:dyDescent="0.25">
      <c r="A122" s="90"/>
      <c r="C122" s="230"/>
      <c r="D122" s="230"/>
      <c r="E122" s="230"/>
      <c r="F122" s="230"/>
      <c r="G122" s="136"/>
      <c r="H122" s="136"/>
      <c r="I122" s="137"/>
      <c r="J122" s="31"/>
      <c r="K122" s="31"/>
      <c r="L122" s="31"/>
      <c r="M122" s="31"/>
    </row>
    <row r="123" spans="1:13" x14ac:dyDescent="0.25">
      <c r="A123" s="90"/>
      <c r="C123" s="230"/>
      <c r="D123" s="230"/>
      <c r="E123" s="230"/>
      <c r="F123" s="230"/>
      <c r="G123" s="136"/>
      <c r="H123" s="136"/>
      <c r="I123" s="137"/>
      <c r="J123" s="31"/>
      <c r="K123" s="31"/>
      <c r="L123" s="31"/>
      <c r="M123" s="31"/>
    </row>
    <row r="124" spans="1:13" x14ac:dyDescent="0.25">
      <c r="A124" s="90"/>
      <c r="C124" s="230"/>
      <c r="D124" s="230"/>
      <c r="E124" s="230"/>
      <c r="F124" s="230"/>
      <c r="G124" s="136"/>
      <c r="H124" s="136"/>
      <c r="I124" s="137"/>
      <c r="J124" s="31"/>
      <c r="K124" s="31"/>
      <c r="L124" s="31"/>
      <c r="M124" s="31"/>
    </row>
    <row r="125" spans="1:13" x14ac:dyDescent="0.25">
      <c r="A125" s="90"/>
      <c r="C125" s="230"/>
      <c r="D125" s="230"/>
      <c r="E125" s="230"/>
      <c r="F125" s="230"/>
      <c r="G125" s="136"/>
      <c r="H125" s="136"/>
      <c r="I125" s="137"/>
      <c r="J125" s="31"/>
      <c r="K125" s="31"/>
      <c r="L125" s="31"/>
      <c r="M125" s="31"/>
    </row>
    <row r="126" spans="1:13" x14ac:dyDescent="0.25">
      <c r="A126" s="90"/>
      <c r="C126" s="230"/>
      <c r="D126" s="230"/>
      <c r="E126" s="230"/>
      <c r="F126" s="230"/>
      <c r="G126" s="136"/>
      <c r="H126" s="136"/>
      <c r="I126" s="137"/>
      <c r="J126" s="31"/>
      <c r="K126" s="31"/>
      <c r="L126" s="31"/>
      <c r="M126" s="31"/>
    </row>
    <row r="127" spans="1:13" x14ac:dyDescent="0.25">
      <c r="A127" s="90"/>
      <c r="C127" s="230"/>
      <c r="D127" s="230"/>
      <c r="E127" s="230"/>
      <c r="F127" s="230"/>
      <c r="G127" s="136"/>
      <c r="H127" s="136"/>
      <c r="I127" s="137"/>
      <c r="J127" s="31"/>
      <c r="K127" s="31"/>
      <c r="L127" s="31"/>
      <c r="M127" s="31"/>
    </row>
    <row r="128" spans="1:13" x14ac:dyDescent="0.25">
      <c r="A128" s="90"/>
      <c r="C128" s="230"/>
      <c r="D128" s="230"/>
      <c r="E128" s="230"/>
      <c r="F128" s="230"/>
      <c r="G128" s="136"/>
      <c r="H128" s="136"/>
      <c r="I128" s="137"/>
      <c r="J128" s="31"/>
      <c r="K128" s="31"/>
      <c r="L128" s="31"/>
      <c r="M128" s="31"/>
    </row>
    <row r="129" spans="1:13" x14ac:dyDescent="0.25">
      <c r="A129" s="90"/>
      <c r="C129" s="230"/>
      <c r="D129" s="230"/>
      <c r="E129" s="230"/>
      <c r="F129" s="230"/>
      <c r="G129" s="136"/>
      <c r="H129" s="136"/>
      <c r="I129" s="137"/>
      <c r="J129" s="31"/>
      <c r="K129" s="31"/>
      <c r="L129" s="31"/>
      <c r="M129" s="31"/>
    </row>
    <row r="130" spans="1:13" x14ac:dyDescent="0.25">
      <c r="A130" s="90"/>
      <c r="C130" s="230"/>
      <c r="D130" s="230"/>
      <c r="E130" s="230"/>
      <c r="F130" s="230"/>
      <c r="G130" s="136"/>
      <c r="H130" s="136"/>
      <c r="I130" s="137"/>
      <c r="J130" s="31"/>
      <c r="K130" s="31"/>
      <c r="L130" s="31"/>
      <c r="M130" s="31"/>
    </row>
    <row r="131" spans="1:13" x14ac:dyDescent="0.25">
      <c r="A131" s="90"/>
      <c r="C131" s="230"/>
      <c r="D131" s="230"/>
      <c r="E131" s="230"/>
      <c r="F131" s="230"/>
      <c r="G131" s="136"/>
      <c r="H131" s="136"/>
      <c r="I131" s="137"/>
      <c r="J131" s="31"/>
      <c r="K131" s="31"/>
      <c r="L131" s="31"/>
      <c r="M131" s="31"/>
    </row>
    <row r="132" spans="1:13" x14ac:dyDescent="0.25">
      <c r="A132" s="90"/>
      <c r="C132" s="230"/>
      <c r="D132" s="230"/>
      <c r="E132" s="230"/>
      <c r="F132" s="230"/>
      <c r="G132" s="136"/>
      <c r="H132" s="136"/>
      <c r="I132" s="137"/>
      <c r="J132" s="31"/>
      <c r="K132" s="31"/>
      <c r="L132" s="31"/>
      <c r="M132" s="31"/>
    </row>
    <row r="133" spans="1:13" x14ac:dyDescent="0.25">
      <c r="A133" s="90"/>
      <c r="C133" s="230"/>
      <c r="D133" s="230"/>
      <c r="E133" s="230"/>
      <c r="F133" s="230"/>
      <c r="G133" s="136"/>
      <c r="H133" s="136"/>
      <c r="I133" s="137"/>
      <c r="J133" s="31"/>
      <c r="K133" s="31"/>
      <c r="L133" s="31"/>
      <c r="M133" s="31"/>
    </row>
    <row r="134" spans="1:13" x14ac:dyDescent="0.25">
      <c r="A134" s="90"/>
      <c r="C134" s="230"/>
      <c r="D134" s="230"/>
      <c r="E134" s="230"/>
      <c r="F134" s="230"/>
      <c r="G134" s="136"/>
      <c r="H134" s="136"/>
      <c r="I134" s="137"/>
      <c r="J134" s="31"/>
      <c r="K134" s="31"/>
      <c r="L134" s="31"/>
      <c r="M134" s="31"/>
    </row>
    <row r="135" spans="1:13" x14ac:dyDescent="0.25">
      <c r="A135" s="90"/>
      <c r="C135" s="230"/>
      <c r="D135" s="230"/>
      <c r="E135" s="230"/>
      <c r="F135" s="230"/>
      <c r="G135" s="136"/>
      <c r="H135" s="136"/>
      <c r="I135" s="137"/>
      <c r="J135" s="31"/>
      <c r="K135" s="31"/>
      <c r="L135" s="31"/>
      <c r="M135" s="31"/>
    </row>
    <row r="136" spans="1:13" x14ac:dyDescent="0.25">
      <c r="A136" s="90"/>
      <c r="C136" s="230"/>
      <c r="D136" s="230"/>
      <c r="E136" s="230"/>
      <c r="F136" s="230"/>
      <c r="G136" s="136"/>
      <c r="H136" s="136"/>
      <c r="I136" s="137"/>
      <c r="J136" s="31"/>
      <c r="K136" s="31"/>
      <c r="L136" s="31"/>
      <c r="M136" s="31"/>
    </row>
    <row r="137" spans="1:13" x14ac:dyDescent="0.25">
      <c r="A137" s="90"/>
      <c r="C137" s="230"/>
      <c r="D137" s="230"/>
      <c r="E137" s="230"/>
      <c r="F137" s="230"/>
      <c r="G137" s="136"/>
      <c r="H137" s="136"/>
      <c r="I137" s="137"/>
      <c r="J137" s="31"/>
      <c r="K137" s="31"/>
      <c r="L137" s="31"/>
      <c r="M137" s="31"/>
    </row>
    <row r="138" spans="1:13" x14ac:dyDescent="0.25">
      <c r="A138" s="90"/>
      <c r="C138" s="230"/>
      <c r="D138" s="230"/>
      <c r="E138" s="230"/>
      <c r="F138" s="230"/>
      <c r="G138" s="136"/>
      <c r="H138" s="136"/>
      <c r="I138" s="137"/>
      <c r="J138" s="31"/>
      <c r="K138" s="31"/>
      <c r="L138" s="31"/>
      <c r="M138" s="31"/>
    </row>
    <row r="139" spans="1:13" x14ac:dyDescent="0.25">
      <c r="A139" s="90"/>
      <c r="C139" s="230"/>
      <c r="D139" s="230"/>
      <c r="E139" s="230"/>
      <c r="F139" s="230"/>
      <c r="G139" s="136"/>
      <c r="H139" s="136"/>
      <c r="I139" s="137"/>
      <c r="J139" s="31"/>
      <c r="K139" s="31"/>
      <c r="L139" s="31"/>
      <c r="M139" s="31"/>
    </row>
    <row r="140" spans="1:13" x14ac:dyDescent="0.25">
      <c r="A140" s="90"/>
      <c r="C140" s="230"/>
      <c r="D140" s="230"/>
      <c r="E140" s="230"/>
      <c r="F140" s="230"/>
      <c r="G140" s="136"/>
      <c r="H140" s="136"/>
      <c r="I140" s="137"/>
      <c r="J140" s="31"/>
      <c r="K140" s="31"/>
      <c r="L140" s="31"/>
      <c r="M140" s="31"/>
    </row>
    <row r="141" spans="1:13" x14ac:dyDescent="0.25">
      <c r="A141" s="90"/>
      <c r="C141" s="230"/>
      <c r="D141" s="230"/>
      <c r="E141" s="230"/>
      <c r="F141" s="230"/>
      <c r="G141" s="136"/>
      <c r="H141" s="136"/>
      <c r="I141" s="137"/>
      <c r="J141" s="31"/>
      <c r="K141" s="31"/>
      <c r="L141" s="31"/>
      <c r="M141" s="31"/>
    </row>
    <row r="142" spans="1:13" x14ac:dyDescent="0.25">
      <c r="A142" s="90"/>
      <c r="C142" s="230"/>
      <c r="D142" s="230"/>
      <c r="E142" s="230"/>
      <c r="F142" s="230"/>
      <c r="G142" s="136"/>
      <c r="H142" s="136"/>
      <c r="I142" s="137"/>
      <c r="J142" s="31"/>
      <c r="K142" s="31"/>
      <c r="L142" s="31"/>
      <c r="M142" s="31"/>
    </row>
    <row r="143" spans="1:13" x14ac:dyDescent="0.25">
      <c r="A143" s="90"/>
      <c r="C143" s="230"/>
      <c r="D143" s="230"/>
      <c r="E143" s="230"/>
      <c r="F143" s="230"/>
      <c r="G143" s="136"/>
      <c r="H143" s="136"/>
      <c r="I143" s="137"/>
      <c r="J143" s="31"/>
      <c r="K143" s="31"/>
      <c r="L143" s="31"/>
      <c r="M143" s="31"/>
    </row>
    <row r="144" spans="1:13" x14ac:dyDescent="0.25">
      <c r="A144" s="90"/>
      <c r="C144" s="230"/>
      <c r="D144" s="230"/>
      <c r="E144" s="230"/>
      <c r="F144" s="230"/>
      <c r="G144" s="136"/>
      <c r="H144" s="136"/>
      <c r="I144" s="137"/>
      <c r="J144" s="31"/>
      <c r="K144" s="31"/>
      <c r="L144" s="31"/>
      <c r="M144" s="31"/>
    </row>
    <row r="145" spans="1:13" x14ac:dyDescent="0.25">
      <c r="A145" s="90"/>
      <c r="C145" s="230"/>
      <c r="D145" s="230"/>
      <c r="E145" s="230"/>
      <c r="F145" s="230"/>
      <c r="G145" s="90"/>
      <c r="H145" s="90"/>
      <c r="I145" s="59"/>
      <c r="J145" s="90"/>
      <c r="K145" s="90"/>
      <c r="L145" s="90"/>
      <c r="M145" s="90"/>
    </row>
    <row r="146" spans="1:13" x14ac:dyDescent="0.25">
      <c r="A146" s="90"/>
      <c r="C146" s="230"/>
      <c r="D146" s="230"/>
      <c r="E146" s="230"/>
      <c r="F146" s="230"/>
      <c r="G146" s="90"/>
      <c r="H146" s="90"/>
      <c r="I146" s="59"/>
      <c r="J146" s="90"/>
      <c r="K146" s="90"/>
      <c r="L146" s="90"/>
      <c r="M146" s="90"/>
    </row>
    <row r="147" spans="1:13" x14ac:dyDescent="0.25">
      <c r="C147" s="268"/>
      <c r="D147" s="268"/>
      <c r="E147" s="268"/>
      <c r="F147" s="268"/>
      <c r="G147" s="34"/>
      <c r="H147" s="34"/>
      <c r="I147" s="59"/>
      <c r="J147" s="34"/>
      <c r="K147" s="34"/>
      <c r="L147" s="34"/>
      <c r="M147" s="34"/>
    </row>
    <row r="148" spans="1:13" x14ac:dyDescent="0.25">
      <c r="C148" s="268"/>
      <c r="D148" s="268"/>
      <c r="E148" s="268"/>
      <c r="F148" s="268"/>
      <c r="G148" s="34"/>
      <c r="H148" s="34"/>
      <c r="I148" s="59"/>
      <c r="J148" s="34"/>
      <c r="K148" s="34"/>
      <c r="L148" s="34"/>
      <c r="M148" s="34"/>
    </row>
    <row r="149" spans="1:13" x14ac:dyDescent="0.25">
      <c r="C149" s="268"/>
      <c r="D149" s="268"/>
      <c r="E149" s="268"/>
      <c r="F149" s="268"/>
      <c r="G149" s="34"/>
      <c r="H149" s="34"/>
      <c r="I149" s="59"/>
      <c r="J149" s="34"/>
      <c r="K149" s="34"/>
      <c r="L149" s="34"/>
      <c r="M149" s="34"/>
    </row>
    <row r="150" spans="1:13" x14ac:dyDescent="0.25">
      <c r="C150" s="268"/>
      <c r="D150" s="268"/>
      <c r="E150" s="268"/>
      <c r="F150" s="268"/>
      <c r="G150" s="34"/>
      <c r="H150" s="34"/>
      <c r="I150" s="59"/>
      <c r="J150" s="34"/>
      <c r="K150" s="34"/>
      <c r="L150" s="34"/>
      <c r="M150" s="34"/>
    </row>
    <row r="151" spans="1:13" x14ac:dyDescent="0.25">
      <c r="C151" s="268"/>
      <c r="D151" s="268"/>
      <c r="E151" s="268"/>
      <c r="F151" s="268"/>
      <c r="G151" s="34"/>
      <c r="H151" s="34"/>
      <c r="I151" s="59"/>
      <c r="J151" s="34"/>
      <c r="K151" s="34"/>
      <c r="L151" s="34"/>
      <c r="M151" s="34"/>
    </row>
    <row r="152" spans="1:13" x14ac:dyDescent="0.25">
      <c r="C152" s="268"/>
      <c r="D152" s="268"/>
      <c r="E152" s="268"/>
      <c r="F152" s="268"/>
      <c r="G152" s="34"/>
      <c r="H152" s="34"/>
      <c r="I152" s="59"/>
      <c r="J152" s="34"/>
      <c r="K152" s="34"/>
      <c r="L152" s="34"/>
      <c r="M152" s="34"/>
    </row>
  </sheetData>
  <mergeCells count="146">
    <mergeCell ref="A15:G15"/>
    <mergeCell ref="H15:N15"/>
    <mergeCell ref="A16:G16"/>
    <mergeCell ref="H16:N16"/>
    <mergeCell ref="H17:N17"/>
    <mergeCell ref="A18:G18"/>
    <mergeCell ref="K5:M5"/>
    <mergeCell ref="A7:N7"/>
    <mergeCell ref="A8:N8"/>
    <mergeCell ref="A13:N13"/>
    <mergeCell ref="A14:G14"/>
    <mergeCell ref="H14:N14"/>
    <mergeCell ref="A6:M6"/>
    <mergeCell ref="A17:G17"/>
    <mergeCell ref="C25:F25"/>
    <mergeCell ref="C26:F26"/>
    <mergeCell ref="C27:F27"/>
    <mergeCell ref="C28:F28"/>
    <mergeCell ref="C29:F29"/>
    <mergeCell ref="C30:F30"/>
    <mergeCell ref="H19:N19"/>
    <mergeCell ref="C20:F20"/>
    <mergeCell ref="C21:F21"/>
    <mergeCell ref="C22:F22"/>
    <mergeCell ref="C23:F23"/>
    <mergeCell ref="C24:F24"/>
    <mergeCell ref="C38:F38"/>
    <mergeCell ref="C39:F39"/>
    <mergeCell ref="C40:F40"/>
    <mergeCell ref="C41:F41"/>
    <mergeCell ref="C42:F42"/>
    <mergeCell ref="C43:F43"/>
    <mergeCell ref="C31:F31"/>
    <mergeCell ref="C32:F32"/>
    <mergeCell ref="C33:F33"/>
    <mergeCell ref="C34:F34"/>
    <mergeCell ref="C36:F36"/>
    <mergeCell ref="C37:F37"/>
    <mergeCell ref="C35:F35"/>
    <mergeCell ref="C50:F50"/>
    <mergeCell ref="C51:F51"/>
    <mergeCell ref="C52:F52"/>
    <mergeCell ref="C53:F53"/>
    <mergeCell ref="C54:F54"/>
    <mergeCell ref="C55:F55"/>
    <mergeCell ref="C44:F44"/>
    <mergeCell ref="C45:F45"/>
    <mergeCell ref="C46:F46"/>
    <mergeCell ref="C47:F47"/>
    <mergeCell ref="C48:F48"/>
    <mergeCell ref="C49:F49"/>
    <mergeCell ref="C62:F62"/>
    <mergeCell ref="C63:F63"/>
    <mergeCell ref="C64:F64"/>
    <mergeCell ref="C65:F65"/>
    <mergeCell ref="C68:F68"/>
    <mergeCell ref="C56:F56"/>
    <mergeCell ref="C57:F57"/>
    <mergeCell ref="C58:F58"/>
    <mergeCell ref="C59:F59"/>
    <mergeCell ref="C60:F60"/>
    <mergeCell ref="C61:F61"/>
    <mergeCell ref="C66:F66"/>
    <mergeCell ref="C67:F67"/>
    <mergeCell ref="B75:F75"/>
    <mergeCell ref="B76:F76"/>
    <mergeCell ref="B77:F77"/>
    <mergeCell ref="B78:F78"/>
    <mergeCell ref="B79:F79"/>
    <mergeCell ref="B80:F80"/>
    <mergeCell ref="C69:F69"/>
    <mergeCell ref="C70:F70"/>
    <mergeCell ref="C71:F71"/>
    <mergeCell ref="C72:F72"/>
    <mergeCell ref="A73:L73"/>
    <mergeCell ref="B74:F74"/>
    <mergeCell ref="B87:F87"/>
    <mergeCell ref="C89:F89"/>
    <mergeCell ref="A90:N90"/>
    <mergeCell ref="A91:N91"/>
    <mergeCell ref="A93:N93"/>
    <mergeCell ref="A94:N94"/>
    <mergeCell ref="B81:F81"/>
    <mergeCell ref="B82:F82"/>
    <mergeCell ref="B83:F83"/>
    <mergeCell ref="B84:F84"/>
    <mergeCell ref="B85:F85"/>
    <mergeCell ref="B86:F86"/>
    <mergeCell ref="C101:F101"/>
    <mergeCell ref="C102:F102"/>
    <mergeCell ref="C103:F103"/>
    <mergeCell ref="C104:F104"/>
    <mergeCell ref="C105:F105"/>
    <mergeCell ref="C106:F106"/>
    <mergeCell ref="C95:F95"/>
    <mergeCell ref="C96:F96"/>
    <mergeCell ref="C97:F97"/>
    <mergeCell ref="C98:F98"/>
    <mergeCell ref="C99:F99"/>
    <mergeCell ref="C100:F100"/>
    <mergeCell ref="C113:F113"/>
    <mergeCell ref="C114:F114"/>
    <mergeCell ref="C115:F115"/>
    <mergeCell ref="C116:F116"/>
    <mergeCell ref="C117:F117"/>
    <mergeCell ref="C118:F118"/>
    <mergeCell ref="C107:F107"/>
    <mergeCell ref="C108:F108"/>
    <mergeCell ref="C109:F109"/>
    <mergeCell ref="C110:F110"/>
    <mergeCell ref="C111:F111"/>
    <mergeCell ref="C112:F112"/>
    <mergeCell ref="C125:F125"/>
    <mergeCell ref="C126:F126"/>
    <mergeCell ref="C127:F127"/>
    <mergeCell ref="C128:F128"/>
    <mergeCell ref="C129:F129"/>
    <mergeCell ref="C130:F130"/>
    <mergeCell ref="C119:F119"/>
    <mergeCell ref="C120:F120"/>
    <mergeCell ref="C121:F121"/>
    <mergeCell ref="C122:F122"/>
    <mergeCell ref="C123:F123"/>
    <mergeCell ref="C124:F124"/>
    <mergeCell ref="C137:F137"/>
    <mergeCell ref="C138:F138"/>
    <mergeCell ref="C139:F139"/>
    <mergeCell ref="C140:F140"/>
    <mergeCell ref="C141:F141"/>
    <mergeCell ref="C142:F142"/>
    <mergeCell ref="C131:F131"/>
    <mergeCell ref="C132:F132"/>
    <mergeCell ref="C133:F133"/>
    <mergeCell ref="C134:F134"/>
    <mergeCell ref="C135:F135"/>
    <mergeCell ref="C136:F136"/>
    <mergeCell ref="C149:F149"/>
    <mergeCell ref="C150:F150"/>
    <mergeCell ref="C151:F151"/>
    <mergeCell ref="C152:F152"/>
    <mergeCell ref="C143:F143"/>
    <mergeCell ref="C144:F144"/>
    <mergeCell ref="C145:F145"/>
    <mergeCell ref="C146:F146"/>
    <mergeCell ref="C147:F147"/>
    <mergeCell ref="C148:F148"/>
  </mergeCells>
  <pageMargins left="0.7" right="0.7" top="0.75" bottom="0.75" header="0.3" footer="0.3"/>
  <pageSetup paperSize="9" scale="71" orientation="landscape" r:id="rId1"/>
  <rowBreaks count="1" manualBreakCount="1">
    <brk id="63" max="13" man="1"/>
  </rowBreaks>
  <colBreaks count="1" manualBreakCount="1">
    <brk id="13" max="8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view="pageLayout" zoomScaleNormal="85" zoomScaleSheetLayoutView="100" workbookViewId="0">
      <selection activeCell="C30" sqref="C30:E35"/>
    </sheetView>
  </sheetViews>
  <sheetFormatPr defaultRowHeight="15.75" x14ac:dyDescent="0.25"/>
  <cols>
    <col min="1" max="1" width="6.85546875" style="8" customWidth="1"/>
    <col min="2" max="2" width="12.42578125" style="8" customWidth="1"/>
    <col min="3" max="3" width="45.28515625" style="8" customWidth="1"/>
    <col min="4" max="4" width="11.28515625" style="8" customWidth="1"/>
    <col min="5" max="5" width="21.42578125" style="10" customWidth="1"/>
    <col min="6" max="6" width="18.5703125" style="10" customWidth="1"/>
    <col min="7" max="16384" width="9.140625" style="8"/>
  </cols>
  <sheetData>
    <row r="1" spans="1:16" x14ac:dyDescent="0.25">
      <c r="A1" s="7"/>
      <c r="E1" s="8"/>
      <c r="F1" s="9" t="s">
        <v>302</v>
      </c>
    </row>
    <row r="2" spans="1:16" x14ac:dyDescent="0.25">
      <c r="A2" s="7"/>
      <c r="E2" s="8"/>
      <c r="F2" s="9" t="s">
        <v>20</v>
      </c>
    </row>
    <row r="3" spans="1:16" x14ac:dyDescent="0.25">
      <c r="A3" s="7"/>
      <c r="E3" s="8"/>
      <c r="F3" s="9"/>
    </row>
    <row r="4" spans="1:16" x14ac:dyDescent="0.25">
      <c r="A4" s="7"/>
      <c r="E4" s="99" t="s">
        <v>84</v>
      </c>
      <c r="F4" s="9"/>
    </row>
    <row r="6" spans="1:16" x14ac:dyDescent="0.25">
      <c r="A6" s="307" t="s">
        <v>21</v>
      </c>
      <c r="B6" s="307"/>
      <c r="C6" s="307"/>
      <c r="D6" s="307"/>
      <c r="E6" s="307"/>
      <c r="F6" s="307"/>
    </row>
    <row r="7" spans="1:16" x14ac:dyDescent="0.25">
      <c r="A7" s="307" t="s">
        <v>22</v>
      </c>
      <c r="B7" s="307"/>
      <c r="C7" s="307"/>
      <c r="D7" s="307"/>
      <c r="E7" s="307"/>
      <c r="F7" s="307"/>
    </row>
    <row r="8" spans="1:16" x14ac:dyDescent="0.25">
      <c r="A8" s="308" t="s">
        <v>250</v>
      </c>
      <c r="B8" s="308"/>
      <c r="C8" s="308"/>
      <c r="D8" s="308"/>
      <c r="E8" s="308"/>
      <c r="F8" s="308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x14ac:dyDescent="0.25">
      <c r="A9" s="90"/>
      <c r="B9" s="90"/>
      <c r="C9" s="90"/>
      <c r="D9" s="90"/>
      <c r="E9" s="90"/>
      <c r="F9" s="90"/>
      <c r="G9" s="100"/>
      <c r="H9" s="100"/>
      <c r="I9" s="100"/>
      <c r="J9" s="100"/>
      <c r="K9" s="100"/>
      <c r="L9" s="100"/>
      <c r="M9" s="100"/>
      <c r="N9" s="100"/>
      <c r="O9" s="100"/>
      <c r="P9" s="100"/>
    </row>
    <row r="10" spans="1:16" s="101" customFormat="1" ht="15" x14ac:dyDescent="0.25">
      <c r="A10" s="7" t="s">
        <v>243</v>
      </c>
      <c r="B10" s="90"/>
      <c r="C10" s="90"/>
      <c r="D10" s="90"/>
      <c r="E10" s="90"/>
      <c r="F10" s="90"/>
      <c r="G10" s="100"/>
      <c r="H10" s="100"/>
      <c r="I10" s="100"/>
      <c r="J10" s="100"/>
      <c r="K10" s="100"/>
      <c r="L10" s="100"/>
      <c r="M10" s="100"/>
      <c r="N10" s="100"/>
      <c r="O10" s="100"/>
      <c r="P10" s="100"/>
    </row>
    <row r="11" spans="1:16" s="101" customFormat="1" ht="15" x14ac:dyDescent="0.25">
      <c r="A11" s="310" t="s">
        <v>23</v>
      </c>
      <c r="B11" s="310"/>
      <c r="C11" s="310"/>
      <c r="D11" s="310"/>
      <c r="E11" s="310"/>
      <c r="F11" s="310"/>
    </row>
    <row r="12" spans="1:16" s="101" customFormat="1" ht="15" x14ac:dyDescent="0.25">
      <c r="B12" s="311" t="s">
        <v>260</v>
      </c>
      <c r="C12" s="311"/>
      <c r="D12" s="102"/>
      <c r="E12" s="103"/>
      <c r="F12" s="104"/>
    </row>
    <row r="13" spans="1:16" s="101" customFormat="1" ht="15" x14ac:dyDescent="0.25">
      <c r="B13" s="311" t="s">
        <v>242</v>
      </c>
      <c r="C13" s="311"/>
      <c r="D13" s="102"/>
      <c r="E13" s="103"/>
      <c r="F13" s="104"/>
    </row>
    <row r="14" spans="1:16" s="101" customFormat="1" ht="15" x14ac:dyDescent="0.25">
      <c r="B14" s="312" t="s">
        <v>240</v>
      </c>
      <c r="C14" s="312"/>
      <c r="D14" s="105"/>
      <c r="E14" s="104"/>
      <c r="F14" s="104"/>
    </row>
    <row r="15" spans="1:16" s="101" customFormat="1" ht="15" x14ac:dyDescent="0.25">
      <c r="E15" s="104"/>
      <c r="F15" s="104"/>
    </row>
    <row r="16" spans="1:16" s="106" customFormat="1" ht="36" customHeight="1" x14ac:dyDescent="0.25">
      <c r="A16" s="305" t="s">
        <v>0</v>
      </c>
      <c r="B16" s="305" t="s">
        <v>24</v>
      </c>
      <c r="C16" s="305" t="s">
        <v>25</v>
      </c>
      <c r="D16" s="305" t="s">
        <v>1</v>
      </c>
      <c r="E16" s="306" t="s">
        <v>26</v>
      </c>
      <c r="F16" s="306" t="s">
        <v>232</v>
      </c>
    </row>
    <row r="17" spans="1:6" s="106" customFormat="1" ht="15" x14ac:dyDescent="0.25">
      <c r="A17" s="305"/>
      <c r="B17" s="305"/>
      <c r="C17" s="305"/>
      <c r="D17" s="305"/>
      <c r="E17" s="306"/>
      <c r="F17" s="306"/>
    </row>
    <row r="18" spans="1:6" s="106" customFormat="1" ht="15" x14ac:dyDescent="0.25">
      <c r="A18" s="305"/>
      <c r="B18" s="305"/>
      <c r="C18" s="305"/>
      <c r="D18" s="305"/>
      <c r="E18" s="306"/>
      <c r="F18" s="306"/>
    </row>
    <row r="19" spans="1:6" s="106" customFormat="1" ht="15" x14ac:dyDescent="0.25">
      <c r="A19" s="107">
        <v>1</v>
      </c>
      <c r="B19" s="107">
        <v>2</v>
      </c>
      <c r="C19" s="107">
        <v>3</v>
      </c>
      <c r="D19" s="107">
        <v>4</v>
      </c>
      <c r="E19" s="107">
        <v>6</v>
      </c>
      <c r="F19" s="107">
        <v>10</v>
      </c>
    </row>
    <row r="20" spans="1:6" s="106" customFormat="1" ht="15" x14ac:dyDescent="0.25">
      <c r="A20" s="107">
        <v>1</v>
      </c>
      <c r="B20" s="108" t="s">
        <v>27</v>
      </c>
      <c r="C20" s="109" t="s">
        <v>113</v>
      </c>
      <c r="D20" s="110" t="s">
        <v>17</v>
      </c>
      <c r="E20" s="111">
        <v>416605</v>
      </c>
      <c r="F20" s="112">
        <f>E20*1.2</f>
        <v>499926</v>
      </c>
    </row>
    <row r="21" spans="1:6" s="106" customFormat="1" ht="15" x14ac:dyDescent="0.25">
      <c r="A21" s="107">
        <v>2</v>
      </c>
      <c r="B21" s="108" t="s">
        <v>28</v>
      </c>
      <c r="C21" s="109" t="s">
        <v>114</v>
      </c>
      <c r="D21" s="110" t="s">
        <v>17</v>
      </c>
      <c r="E21" s="111">
        <v>444153</v>
      </c>
      <c r="F21" s="112">
        <f t="shared" ref="F21:F26" si="0">E21*1.2</f>
        <v>532983.6</v>
      </c>
    </row>
    <row r="22" spans="1:6" s="113" customFormat="1" ht="15" x14ac:dyDescent="0.25">
      <c r="A22" s="107">
        <v>3</v>
      </c>
      <c r="B22" s="108" t="s">
        <v>29</v>
      </c>
      <c r="C22" s="109" t="s">
        <v>115</v>
      </c>
      <c r="D22" s="110" t="s">
        <v>17</v>
      </c>
      <c r="E22" s="111">
        <v>466514</v>
      </c>
      <c r="F22" s="112">
        <f t="shared" si="0"/>
        <v>559816.79999999993</v>
      </c>
    </row>
    <row r="23" spans="1:6" s="113" customFormat="1" ht="15" x14ac:dyDescent="0.25">
      <c r="A23" s="107">
        <v>4</v>
      </c>
      <c r="B23" s="108" t="s">
        <v>110</v>
      </c>
      <c r="C23" s="109" t="s">
        <v>274</v>
      </c>
      <c r="D23" s="110" t="s">
        <v>17</v>
      </c>
      <c r="E23" s="111">
        <v>589243</v>
      </c>
      <c r="F23" s="112">
        <f t="shared" si="0"/>
        <v>707091.6</v>
      </c>
    </row>
    <row r="24" spans="1:6" s="113" customFormat="1" ht="15" x14ac:dyDescent="0.25">
      <c r="A24" s="107">
        <v>5</v>
      </c>
      <c r="B24" s="108" t="s">
        <v>111</v>
      </c>
      <c r="C24" s="109" t="s">
        <v>116</v>
      </c>
      <c r="D24" s="110" t="s">
        <v>17</v>
      </c>
      <c r="E24" s="111">
        <v>664979</v>
      </c>
      <c r="F24" s="112">
        <f t="shared" si="0"/>
        <v>797974.79999999993</v>
      </c>
    </row>
    <row r="25" spans="1:6" s="113" customFormat="1" ht="15" x14ac:dyDescent="0.25">
      <c r="A25" s="107">
        <v>6</v>
      </c>
      <c r="B25" s="108" t="s">
        <v>112</v>
      </c>
      <c r="C25" s="109" t="s">
        <v>117</v>
      </c>
      <c r="D25" s="110" t="s">
        <v>17</v>
      </c>
      <c r="E25" s="111">
        <v>1002402</v>
      </c>
      <c r="F25" s="112">
        <f t="shared" si="0"/>
        <v>1202882.3999999999</v>
      </c>
    </row>
    <row r="26" spans="1:6" s="113" customFormat="1" ht="15" x14ac:dyDescent="0.25">
      <c r="A26" s="107">
        <v>7</v>
      </c>
      <c r="B26" s="108" t="s">
        <v>233</v>
      </c>
      <c r="C26" s="109" t="s">
        <v>118</v>
      </c>
      <c r="D26" s="110" t="s">
        <v>17</v>
      </c>
      <c r="E26" s="111">
        <v>1280027</v>
      </c>
      <c r="F26" s="112">
        <f t="shared" si="0"/>
        <v>1536032.4</v>
      </c>
    </row>
    <row r="27" spans="1:6" s="113" customFormat="1" ht="15" x14ac:dyDescent="0.25">
      <c r="A27" s="114"/>
      <c r="B27" s="115"/>
      <c r="C27" s="115"/>
      <c r="D27" s="116"/>
      <c r="E27" s="117"/>
      <c r="F27" s="117"/>
    </row>
    <row r="28" spans="1:6" s="113" customFormat="1" ht="15" x14ac:dyDescent="0.25">
      <c r="A28" s="114"/>
      <c r="B28" s="115"/>
      <c r="C28" s="115"/>
      <c r="D28" s="116"/>
      <c r="E28" s="117"/>
      <c r="F28" s="117"/>
    </row>
    <row r="29" spans="1:6" s="101" customFormat="1" ht="15" x14ac:dyDescent="0.25">
      <c r="E29" s="104"/>
      <c r="F29" s="104"/>
    </row>
    <row r="30" spans="1:6" s="101" customFormat="1" ht="15" x14ac:dyDescent="0.25">
      <c r="C30" s="118"/>
      <c r="E30" s="104"/>
      <c r="F30" s="104"/>
    </row>
    <row r="31" spans="1:6" s="101" customFormat="1" ht="15" x14ac:dyDescent="0.25">
      <c r="C31" s="304"/>
      <c r="D31" s="304"/>
      <c r="E31" s="304"/>
      <c r="F31" s="104"/>
    </row>
    <row r="32" spans="1:6" s="101" customFormat="1" ht="15" x14ac:dyDescent="0.25">
      <c r="C32" s="149"/>
      <c r="D32" s="149"/>
      <c r="E32" s="149"/>
      <c r="F32" s="104"/>
    </row>
    <row r="33" spans="3:6" s="101" customFormat="1" ht="15" x14ac:dyDescent="0.25">
      <c r="C33" s="118"/>
      <c r="D33" s="309"/>
      <c r="E33" s="309"/>
      <c r="F33" s="104"/>
    </row>
    <row r="34" spans="3:6" s="101" customFormat="1" ht="15" x14ac:dyDescent="0.25">
      <c r="C34" s="304"/>
      <c r="D34" s="304"/>
      <c r="E34" s="304"/>
      <c r="F34" s="104"/>
    </row>
    <row r="35" spans="3:6" s="101" customFormat="1" ht="15" x14ac:dyDescent="0.25">
      <c r="E35" s="104"/>
      <c r="F35" s="104"/>
    </row>
    <row r="36" spans="3:6" s="101" customFormat="1" ht="15" x14ac:dyDescent="0.25">
      <c r="E36" s="104"/>
      <c r="F36" s="104"/>
    </row>
    <row r="37" spans="3:6" ht="17.25" x14ac:dyDescent="0.3">
      <c r="C37" s="1"/>
    </row>
    <row r="42" spans="3:6" ht="9.75" customHeight="1" x14ac:dyDescent="0.25">
      <c r="E42" s="10" t="s">
        <v>106</v>
      </c>
    </row>
    <row r="43" spans="3:6" x14ac:dyDescent="0.25">
      <c r="C43" s="2"/>
    </row>
    <row r="44" spans="3:6" x14ac:dyDescent="0.25">
      <c r="C44" s="2"/>
    </row>
  </sheetData>
  <mergeCells count="16">
    <mergeCell ref="A6:F6"/>
    <mergeCell ref="A7:F7"/>
    <mergeCell ref="A8:F8"/>
    <mergeCell ref="C31:E31"/>
    <mergeCell ref="D33:E33"/>
    <mergeCell ref="F16:F18"/>
    <mergeCell ref="A11:F11"/>
    <mergeCell ref="B12:C12"/>
    <mergeCell ref="B13:C13"/>
    <mergeCell ref="B14:C14"/>
    <mergeCell ref="C34:E34"/>
    <mergeCell ref="A16:A18"/>
    <mergeCell ref="B16:B18"/>
    <mergeCell ref="C16:C18"/>
    <mergeCell ref="D16:D18"/>
    <mergeCell ref="E16:E18"/>
  </mergeCells>
  <pageMargins left="0.23" right="0.27" top="0.43307086614173229" bottom="0.31496062992125984" header="0.19685039370078741" footer="0.19685039370078741"/>
  <pageSetup paperSize="9" scale="85" fitToHeight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Q88"/>
  <sheetViews>
    <sheetView view="pageLayout" zoomScaleNormal="100" zoomScaleSheetLayoutView="115" workbookViewId="0">
      <selection activeCell="M2" sqref="M2"/>
    </sheetView>
  </sheetViews>
  <sheetFormatPr defaultRowHeight="15" x14ac:dyDescent="0.25"/>
  <cols>
    <col min="1" max="1" width="6.7109375" style="36" customWidth="1"/>
    <col min="2" max="2" width="14.42578125" style="36" customWidth="1"/>
    <col min="3" max="5" width="9.140625" style="36"/>
    <col min="6" max="6" width="1.140625" style="36" customWidth="1"/>
    <col min="7" max="7" width="10.42578125" style="36" customWidth="1"/>
    <col min="8" max="8" width="11.7109375" style="36" customWidth="1"/>
    <col min="9" max="9" width="11.140625" style="36" customWidth="1"/>
    <col min="10" max="10" width="9.7109375" style="36" customWidth="1"/>
    <col min="11" max="11" width="9.140625" style="36"/>
    <col min="12" max="12" width="13" style="36" customWidth="1"/>
    <col min="13" max="13" width="14.140625" style="36" customWidth="1"/>
    <col min="14" max="14" width="9.140625" style="36" hidden="1" customWidth="1"/>
    <col min="15" max="16384" width="9.140625" style="36"/>
  </cols>
  <sheetData>
    <row r="1" spans="1:14" x14ac:dyDescent="0.25">
      <c r="A1" s="7"/>
      <c r="M1" s="37" t="s">
        <v>303</v>
      </c>
    </row>
    <row r="2" spans="1:14" x14ac:dyDescent="0.25">
      <c r="A2" s="7"/>
      <c r="M2" s="37" t="s">
        <v>31</v>
      </c>
      <c r="N2" s="37" t="s">
        <v>30</v>
      </c>
    </row>
    <row r="3" spans="1:14" x14ac:dyDescent="0.25">
      <c r="A3" s="7"/>
      <c r="M3" s="37"/>
      <c r="N3" s="37" t="s">
        <v>20</v>
      </c>
    </row>
    <row r="4" spans="1:14" x14ac:dyDescent="0.25">
      <c r="N4" s="37" t="s">
        <v>32</v>
      </c>
    </row>
    <row r="5" spans="1:14" x14ac:dyDescent="0.25">
      <c r="A5" s="327" t="s">
        <v>21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</row>
    <row r="6" spans="1:14" x14ac:dyDescent="0.25">
      <c r="A6" s="327" t="s">
        <v>22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</row>
    <row r="7" spans="1:14" x14ac:dyDescent="0.25">
      <c r="A7" s="313" t="s">
        <v>247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</row>
    <row r="9" spans="1:14" x14ac:dyDescent="0.25">
      <c r="A9" s="36" t="s">
        <v>241</v>
      </c>
    </row>
    <row r="10" spans="1:14" x14ac:dyDescent="0.25">
      <c r="A10" s="36" t="s">
        <v>88</v>
      </c>
    </row>
    <row r="12" spans="1:14" x14ac:dyDescent="0.25">
      <c r="A12" s="328" t="s">
        <v>85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</row>
    <row r="13" spans="1:14" x14ac:dyDescent="0.25">
      <c r="A13" s="329"/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</row>
    <row r="14" spans="1:14" x14ac:dyDescent="0.25">
      <c r="A14" s="95" t="s">
        <v>246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</row>
    <row r="16" spans="1:14" s="38" customFormat="1" ht="45" x14ac:dyDescent="0.25">
      <c r="A16" s="93" t="s">
        <v>36</v>
      </c>
      <c r="B16" s="93" t="s">
        <v>37</v>
      </c>
      <c r="C16" s="326" t="s">
        <v>38</v>
      </c>
      <c r="D16" s="326"/>
      <c r="E16" s="326"/>
      <c r="F16" s="326"/>
      <c r="G16" s="93" t="s">
        <v>39</v>
      </c>
      <c r="H16" s="93" t="s">
        <v>40</v>
      </c>
      <c r="I16" s="93" t="s">
        <v>41</v>
      </c>
      <c r="J16" s="93" t="s">
        <v>42</v>
      </c>
      <c r="K16" s="93" t="s">
        <v>43</v>
      </c>
      <c r="L16" s="93" t="s">
        <v>44</v>
      </c>
      <c r="M16" s="93" t="s">
        <v>235</v>
      </c>
    </row>
    <row r="17" spans="1:17" x14ac:dyDescent="0.25">
      <c r="A17" s="96">
        <v>1</v>
      </c>
      <c r="B17" s="96">
        <v>2</v>
      </c>
      <c r="C17" s="317">
        <v>3</v>
      </c>
      <c r="D17" s="317"/>
      <c r="E17" s="317"/>
      <c r="F17" s="317"/>
      <c r="G17" s="96">
        <v>4</v>
      </c>
      <c r="H17" s="96">
        <v>5</v>
      </c>
      <c r="I17" s="96">
        <v>6</v>
      </c>
      <c r="J17" s="96">
        <v>7</v>
      </c>
      <c r="K17" s="96">
        <v>8</v>
      </c>
      <c r="L17" s="96">
        <v>9</v>
      </c>
      <c r="M17" s="96">
        <v>10</v>
      </c>
    </row>
    <row r="18" spans="1:17" x14ac:dyDescent="0.25">
      <c r="A18" s="318" t="s">
        <v>89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20"/>
    </row>
    <row r="19" spans="1:17" ht="18" customHeight="1" x14ac:dyDescent="0.25">
      <c r="A19" s="96">
        <v>1</v>
      </c>
      <c r="B19" s="321" t="s">
        <v>90</v>
      </c>
      <c r="C19" s="225" t="s">
        <v>91</v>
      </c>
      <c r="D19" s="226"/>
      <c r="E19" s="226"/>
      <c r="F19" s="227"/>
      <c r="G19" s="140" t="s">
        <v>92</v>
      </c>
      <c r="H19" s="140">
        <v>1</v>
      </c>
      <c r="I19" s="141">
        <v>47373.17</v>
      </c>
      <c r="J19" s="141">
        <f>H19*I19</f>
        <v>47373.17</v>
      </c>
      <c r="K19" s="142">
        <v>1.069</v>
      </c>
      <c r="L19" s="141">
        <f>J19*K19</f>
        <v>50641.918729999998</v>
      </c>
      <c r="M19" s="141">
        <f>L19*1.2</f>
        <v>60770.302475999997</v>
      </c>
    </row>
    <row r="20" spans="1:17" ht="19.5" customHeight="1" x14ac:dyDescent="0.25">
      <c r="A20" s="96">
        <v>2</v>
      </c>
      <c r="B20" s="322"/>
      <c r="C20" s="225" t="s">
        <v>93</v>
      </c>
      <c r="D20" s="226"/>
      <c r="E20" s="226"/>
      <c r="F20" s="227"/>
      <c r="G20" s="140" t="s">
        <v>92</v>
      </c>
      <c r="H20" s="140">
        <v>1</v>
      </c>
      <c r="I20" s="141">
        <v>32051.16</v>
      </c>
      <c r="J20" s="141">
        <f t="shared" ref="J20:J23" si="0">H20*I20</f>
        <v>32051.16</v>
      </c>
      <c r="K20" s="142">
        <f>K19</f>
        <v>1.069</v>
      </c>
      <c r="L20" s="141">
        <f t="shared" ref="L20:L23" si="1">J20*K20</f>
        <v>34262.690040000001</v>
      </c>
      <c r="M20" s="141">
        <f>L20*1.2</f>
        <v>41115.228047999997</v>
      </c>
    </row>
    <row r="21" spans="1:17" ht="18.75" customHeight="1" x14ac:dyDescent="0.25">
      <c r="A21" s="96">
        <v>3</v>
      </c>
      <c r="B21" s="322"/>
      <c r="C21" s="225" t="s">
        <v>107</v>
      </c>
      <c r="D21" s="226"/>
      <c r="E21" s="226"/>
      <c r="F21" s="227"/>
      <c r="G21" s="140" t="s">
        <v>92</v>
      </c>
      <c r="H21" s="140">
        <v>1</v>
      </c>
      <c r="I21" s="141">
        <v>2492.4899999999998</v>
      </c>
      <c r="J21" s="141">
        <f t="shared" si="0"/>
        <v>2492.4899999999998</v>
      </c>
      <c r="K21" s="142">
        <f>K19</f>
        <v>1.069</v>
      </c>
      <c r="L21" s="141">
        <f t="shared" si="1"/>
        <v>2664.4718099999996</v>
      </c>
      <c r="M21" s="141">
        <f>L21*1.2</f>
        <v>3197.3661719999996</v>
      </c>
    </row>
    <row r="22" spans="1:17" ht="21.75" customHeight="1" x14ac:dyDescent="0.25">
      <c r="A22" s="96">
        <v>4</v>
      </c>
      <c r="B22" s="322"/>
      <c r="C22" s="225" t="s">
        <v>108</v>
      </c>
      <c r="D22" s="226"/>
      <c r="E22" s="226"/>
      <c r="F22" s="227"/>
      <c r="G22" s="140" t="s">
        <v>92</v>
      </c>
      <c r="H22" s="140">
        <v>1</v>
      </c>
      <c r="I22" s="141">
        <f>I21</f>
        <v>2492.4899999999998</v>
      </c>
      <c r="J22" s="141">
        <f t="shared" si="0"/>
        <v>2492.4899999999998</v>
      </c>
      <c r="K22" s="142">
        <f>K19</f>
        <v>1.069</v>
      </c>
      <c r="L22" s="141">
        <f t="shared" si="1"/>
        <v>2664.4718099999996</v>
      </c>
      <c r="M22" s="141">
        <f>L22*1.2</f>
        <v>3197.3661719999996</v>
      </c>
    </row>
    <row r="23" spans="1:17" ht="21.75" customHeight="1" x14ac:dyDescent="0.25">
      <c r="A23" s="96">
        <v>5</v>
      </c>
      <c r="B23" s="323"/>
      <c r="C23" s="225" t="s">
        <v>94</v>
      </c>
      <c r="D23" s="226"/>
      <c r="E23" s="226"/>
      <c r="F23" s="227"/>
      <c r="G23" s="140" t="s">
        <v>92</v>
      </c>
      <c r="H23" s="140">
        <v>1</v>
      </c>
      <c r="I23" s="141">
        <v>7855.12</v>
      </c>
      <c r="J23" s="141">
        <f t="shared" si="0"/>
        <v>7855.12</v>
      </c>
      <c r="K23" s="142">
        <f>K19</f>
        <v>1.069</v>
      </c>
      <c r="L23" s="141">
        <f t="shared" si="1"/>
        <v>8397.1232799999998</v>
      </c>
      <c r="M23" s="141">
        <f>L23*1.2</f>
        <v>10076.547935999999</v>
      </c>
    </row>
    <row r="24" spans="1:17" x14ac:dyDescent="0.25">
      <c r="A24" s="324" t="s">
        <v>69</v>
      </c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9">
        <f>SUM(M19:M23)</f>
        <v>118356.81080399999</v>
      </c>
    </row>
    <row r="25" spans="1:17" x14ac:dyDescent="0.25">
      <c r="A25" s="94"/>
      <c r="C25" s="315"/>
      <c r="D25" s="315"/>
      <c r="E25" s="315"/>
      <c r="F25" s="315"/>
      <c r="G25" s="143"/>
      <c r="H25" s="143"/>
      <c r="I25" s="44"/>
      <c r="J25" s="44"/>
      <c r="K25" s="44"/>
      <c r="L25" s="44"/>
      <c r="O25" s="45"/>
    </row>
    <row r="26" spans="1:17" s="145" customFormat="1" x14ac:dyDescent="0.25">
      <c r="A26" s="325" t="s">
        <v>18</v>
      </c>
      <c r="B26" s="325"/>
      <c r="C26" s="325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25"/>
      <c r="O26" s="325"/>
      <c r="P26" s="144"/>
      <c r="Q26" s="144"/>
    </row>
    <row r="27" spans="1:17" s="145" customFormat="1" x14ac:dyDescent="0.25">
      <c r="A27" s="316" t="s">
        <v>19</v>
      </c>
      <c r="B27" s="316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144"/>
      <c r="Q27" s="144"/>
    </row>
    <row r="28" spans="1:17" s="145" customFormat="1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44"/>
      <c r="Q28" s="144"/>
    </row>
    <row r="29" spans="1:17" s="145" customFormat="1" x14ac:dyDescent="0.25">
      <c r="A29" s="325" t="s">
        <v>109</v>
      </c>
      <c r="B29" s="325"/>
      <c r="C29" s="325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5"/>
      <c r="P29" s="144"/>
      <c r="Q29" s="144"/>
    </row>
    <row r="30" spans="1:17" s="145" customFormat="1" x14ac:dyDescent="0.25">
      <c r="A30" s="316" t="s">
        <v>19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144"/>
      <c r="Q30" s="144"/>
    </row>
    <row r="31" spans="1:17" x14ac:dyDescent="0.25">
      <c r="A31" s="40"/>
      <c r="B31" s="41"/>
      <c r="C31" s="314"/>
      <c r="D31" s="314"/>
      <c r="E31" s="314"/>
      <c r="F31" s="314"/>
      <c r="G31" s="42"/>
      <c r="H31" s="42"/>
      <c r="I31" s="43"/>
      <c r="J31" s="44"/>
      <c r="K31" s="44"/>
      <c r="L31" s="44"/>
      <c r="M31" s="44"/>
    </row>
    <row r="32" spans="1:17" x14ac:dyDescent="0.25">
      <c r="A32" s="40"/>
      <c r="B32" s="41"/>
      <c r="C32" s="314"/>
      <c r="D32" s="314"/>
      <c r="E32" s="314"/>
      <c r="F32" s="314"/>
      <c r="G32" s="42"/>
      <c r="H32" s="42"/>
      <c r="I32" s="43"/>
      <c r="J32" s="44"/>
      <c r="K32" s="44"/>
      <c r="L32" s="44"/>
      <c r="M32" s="44"/>
    </row>
    <row r="33" spans="1:13" x14ac:dyDescent="0.25">
      <c r="A33" s="40"/>
      <c r="B33" s="41"/>
      <c r="C33" s="314"/>
      <c r="D33" s="314"/>
      <c r="E33" s="314"/>
      <c r="F33" s="314"/>
      <c r="G33" s="42"/>
      <c r="H33" s="42"/>
      <c r="I33" s="43"/>
      <c r="J33" s="44"/>
      <c r="K33" s="44"/>
      <c r="L33" s="44"/>
      <c r="M33" s="44"/>
    </row>
    <row r="34" spans="1:13" x14ac:dyDescent="0.25">
      <c r="A34" s="40"/>
      <c r="B34" s="41"/>
      <c r="C34" s="314"/>
      <c r="D34" s="314"/>
      <c r="E34" s="314"/>
      <c r="F34" s="314"/>
      <c r="G34" s="42"/>
      <c r="H34" s="42"/>
      <c r="I34" s="43"/>
      <c r="J34" s="44"/>
      <c r="K34" s="44"/>
      <c r="L34" s="44"/>
      <c r="M34" s="44"/>
    </row>
    <row r="35" spans="1:13" x14ac:dyDescent="0.25">
      <c r="A35" s="40"/>
      <c r="B35" s="41"/>
      <c r="C35" s="314"/>
      <c r="D35" s="314"/>
      <c r="E35" s="314"/>
      <c r="F35" s="314"/>
      <c r="G35" s="42"/>
      <c r="H35" s="42"/>
      <c r="I35" s="43"/>
      <c r="J35" s="44"/>
      <c r="K35" s="44"/>
      <c r="L35" s="44"/>
      <c r="M35" s="44"/>
    </row>
    <row r="36" spans="1:13" x14ac:dyDescent="0.25">
      <c r="A36" s="40"/>
      <c r="B36" s="41"/>
      <c r="C36" s="314"/>
      <c r="D36" s="314"/>
      <c r="E36" s="314"/>
      <c r="F36" s="314"/>
      <c r="G36" s="42"/>
      <c r="H36" s="42"/>
      <c r="I36" s="43"/>
      <c r="J36" s="44"/>
      <c r="K36" s="44"/>
      <c r="L36" s="44"/>
      <c r="M36" s="44"/>
    </row>
    <row r="37" spans="1:13" x14ac:dyDescent="0.25">
      <c r="A37" s="40"/>
      <c r="B37" s="41"/>
      <c r="C37" s="314"/>
      <c r="D37" s="314"/>
      <c r="E37" s="314"/>
      <c r="F37" s="314"/>
      <c r="G37" s="42"/>
      <c r="H37" s="42"/>
      <c r="I37" s="43"/>
      <c r="J37" s="44"/>
      <c r="K37" s="44"/>
      <c r="L37" s="44"/>
      <c r="M37" s="44"/>
    </row>
    <row r="38" spans="1:13" x14ac:dyDescent="0.25">
      <c r="A38" s="40"/>
      <c r="B38" s="41"/>
      <c r="C38" s="314"/>
      <c r="D38" s="314"/>
      <c r="E38" s="314"/>
      <c r="F38" s="314"/>
      <c r="G38" s="42"/>
      <c r="H38" s="42"/>
      <c r="I38" s="43"/>
      <c r="J38" s="44"/>
      <c r="K38" s="44"/>
      <c r="L38" s="44"/>
      <c r="M38" s="44"/>
    </row>
    <row r="39" spans="1:13" x14ac:dyDescent="0.25">
      <c r="A39" s="40"/>
      <c r="B39" s="41"/>
      <c r="C39" s="314"/>
      <c r="D39" s="314"/>
      <c r="E39" s="314"/>
      <c r="F39" s="314"/>
      <c r="G39" s="42"/>
      <c r="H39" s="42"/>
      <c r="I39" s="43"/>
      <c r="J39" s="44"/>
      <c r="K39" s="44"/>
      <c r="L39" s="44"/>
      <c r="M39" s="44"/>
    </row>
    <row r="40" spans="1:13" x14ac:dyDescent="0.25">
      <c r="A40" s="40"/>
      <c r="B40" s="41"/>
      <c r="C40" s="314"/>
      <c r="D40" s="314"/>
      <c r="E40" s="314"/>
      <c r="F40" s="314"/>
      <c r="G40" s="42"/>
      <c r="H40" s="42"/>
      <c r="I40" s="43"/>
      <c r="J40" s="44"/>
      <c r="K40" s="44"/>
      <c r="L40" s="44"/>
      <c r="M40" s="44"/>
    </row>
    <row r="41" spans="1:13" x14ac:dyDescent="0.25">
      <c r="A41" s="40"/>
      <c r="B41" s="41"/>
      <c r="C41" s="314"/>
      <c r="D41" s="314"/>
      <c r="E41" s="314"/>
      <c r="F41" s="314"/>
      <c r="G41" s="42"/>
      <c r="H41" s="42"/>
      <c r="I41" s="43"/>
      <c r="J41" s="44"/>
      <c r="K41" s="44"/>
      <c r="L41" s="44"/>
      <c r="M41" s="44"/>
    </row>
    <row r="42" spans="1:13" x14ac:dyDescent="0.25">
      <c r="A42" s="40"/>
      <c r="B42" s="41"/>
      <c r="C42" s="314"/>
      <c r="D42" s="314"/>
      <c r="E42" s="314"/>
      <c r="F42" s="314"/>
      <c r="G42" s="42"/>
      <c r="H42" s="42"/>
      <c r="I42" s="43"/>
      <c r="J42" s="44"/>
      <c r="K42" s="44"/>
      <c r="L42" s="44"/>
      <c r="M42" s="44"/>
    </row>
    <row r="43" spans="1:13" x14ac:dyDescent="0.25">
      <c r="A43" s="40"/>
      <c r="B43" s="41"/>
      <c r="C43" s="314"/>
      <c r="D43" s="314"/>
      <c r="E43" s="314"/>
      <c r="F43" s="314"/>
      <c r="G43" s="42"/>
      <c r="H43" s="42"/>
      <c r="I43" s="43"/>
      <c r="J43" s="44"/>
      <c r="K43" s="44"/>
      <c r="L43" s="44"/>
      <c r="M43" s="44"/>
    </row>
    <row r="44" spans="1:13" x14ac:dyDescent="0.25">
      <c r="A44" s="40"/>
      <c r="B44" s="41"/>
      <c r="C44" s="314"/>
      <c r="D44" s="314"/>
      <c r="E44" s="314"/>
      <c r="F44" s="314"/>
      <c r="G44" s="42"/>
      <c r="H44" s="42"/>
      <c r="I44" s="43"/>
      <c r="J44" s="44"/>
      <c r="K44" s="44"/>
      <c r="L44" s="44"/>
      <c r="M44" s="44"/>
    </row>
    <row r="45" spans="1:13" x14ac:dyDescent="0.25">
      <c r="A45" s="40"/>
      <c r="B45" s="41"/>
      <c r="C45" s="314"/>
      <c r="D45" s="314"/>
      <c r="E45" s="314"/>
      <c r="F45" s="314"/>
      <c r="G45" s="42"/>
      <c r="H45" s="42"/>
      <c r="I45" s="43"/>
      <c r="J45" s="44"/>
      <c r="K45" s="44"/>
      <c r="L45" s="44"/>
      <c r="M45" s="44"/>
    </row>
    <row r="46" spans="1:13" x14ac:dyDescent="0.25">
      <c r="A46" s="40"/>
      <c r="B46" s="41"/>
      <c r="C46" s="314"/>
      <c r="D46" s="314"/>
      <c r="E46" s="314"/>
      <c r="F46" s="314"/>
      <c r="G46" s="42"/>
      <c r="H46" s="42"/>
      <c r="I46" s="43"/>
      <c r="J46" s="44"/>
      <c r="K46" s="44"/>
      <c r="L46" s="44"/>
      <c r="M46" s="44"/>
    </row>
    <row r="47" spans="1:13" x14ac:dyDescent="0.25">
      <c r="A47" s="40"/>
      <c r="B47" s="41"/>
      <c r="C47" s="314"/>
      <c r="D47" s="314"/>
      <c r="E47" s="314"/>
      <c r="F47" s="314"/>
      <c r="G47" s="42"/>
      <c r="H47" s="42"/>
      <c r="I47" s="43"/>
      <c r="J47" s="44"/>
      <c r="K47" s="44"/>
      <c r="L47" s="44"/>
      <c r="M47" s="44"/>
    </row>
    <row r="48" spans="1:13" x14ac:dyDescent="0.25">
      <c r="A48" s="40"/>
      <c r="B48" s="41"/>
      <c r="C48" s="314"/>
      <c r="D48" s="314"/>
      <c r="E48" s="314"/>
      <c r="F48" s="314"/>
      <c r="G48" s="42"/>
      <c r="H48" s="42"/>
      <c r="I48" s="43"/>
      <c r="J48" s="44"/>
      <c r="K48" s="44"/>
      <c r="L48" s="44"/>
      <c r="M48" s="44"/>
    </row>
    <row r="49" spans="1:13" x14ac:dyDescent="0.25">
      <c r="A49" s="40"/>
      <c r="B49" s="41"/>
      <c r="C49" s="314"/>
      <c r="D49" s="314"/>
      <c r="E49" s="314"/>
      <c r="F49" s="314"/>
      <c r="G49" s="42"/>
      <c r="H49" s="42"/>
      <c r="I49" s="43"/>
      <c r="J49" s="44"/>
      <c r="K49" s="44"/>
      <c r="L49" s="44"/>
      <c r="M49" s="44"/>
    </row>
    <row r="50" spans="1:13" x14ac:dyDescent="0.25">
      <c r="A50" s="40"/>
      <c r="B50" s="41"/>
      <c r="C50" s="314"/>
      <c r="D50" s="314"/>
      <c r="E50" s="314"/>
      <c r="F50" s="314"/>
      <c r="G50" s="42"/>
      <c r="H50" s="42"/>
      <c r="I50" s="43"/>
      <c r="J50" s="44"/>
      <c r="K50" s="44"/>
      <c r="L50" s="44"/>
      <c r="M50" s="44"/>
    </row>
    <row r="51" spans="1:13" x14ac:dyDescent="0.25">
      <c r="A51" s="40"/>
      <c r="B51" s="41"/>
      <c r="C51" s="314"/>
      <c r="D51" s="314"/>
      <c r="E51" s="314"/>
      <c r="F51" s="314"/>
      <c r="G51" s="42"/>
      <c r="H51" s="42"/>
      <c r="I51" s="43"/>
      <c r="J51" s="44"/>
      <c r="K51" s="44"/>
      <c r="L51" s="44"/>
      <c r="M51" s="44"/>
    </row>
    <row r="52" spans="1:13" x14ac:dyDescent="0.25">
      <c r="A52" s="40"/>
      <c r="B52" s="41"/>
      <c r="C52" s="314"/>
      <c r="D52" s="314"/>
      <c r="E52" s="314"/>
      <c r="F52" s="314"/>
      <c r="G52" s="42"/>
      <c r="H52" s="42"/>
      <c r="I52" s="43"/>
      <c r="J52" s="44"/>
      <c r="K52" s="44"/>
      <c r="L52" s="44"/>
      <c r="M52" s="44"/>
    </row>
    <row r="53" spans="1:13" x14ac:dyDescent="0.25">
      <c r="A53" s="40"/>
      <c r="B53" s="41"/>
      <c r="C53" s="314"/>
      <c r="D53" s="314"/>
      <c r="E53" s="314"/>
      <c r="F53" s="314"/>
      <c r="G53" s="42"/>
      <c r="H53" s="42"/>
      <c r="I53" s="43"/>
      <c r="J53" s="44"/>
      <c r="K53" s="44"/>
      <c r="L53" s="44"/>
      <c r="M53" s="44"/>
    </row>
    <row r="54" spans="1:13" x14ac:dyDescent="0.25">
      <c r="A54" s="40"/>
      <c r="B54" s="41"/>
      <c r="C54" s="314"/>
      <c r="D54" s="314"/>
      <c r="E54" s="314"/>
      <c r="F54" s="314"/>
      <c r="G54" s="42"/>
      <c r="H54" s="42"/>
      <c r="I54" s="43"/>
      <c r="J54" s="44"/>
      <c r="K54" s="44"/>
      <c r="L54" s="44"/>
      <c r="M54" s="44"/>
    </row>
    <row r="55" spans="1:13" x14ac:dyDescent="0.25">
      <c r="A55" s="40"/>
      <c r="B55" s="41"/>
      <c r="C55" s="314"/>
      <c r="D55" s="314"/>
      <c r="E55" s="314"/>
      <c r="F55" s="314"/>
      <c r="G55" s="42"/>
      <c r="H55" s="42"/>
      <c r="I55" s="43"/>
      <c r="J55" s="44"/>
      <c r="K55" s="44"/>
      <c r="L55" s="44"/>
      <c r="M55" s="44"/>
    </row>
    <row r="56" spans="1:13" x14ac:dyDescent="0.25">
      <c r="A56" s="40"/>
      <c r="B56" s="41"/>
      <c r="C56" s="314"/>
      <c r="D56" s="314"/>
      <c r="E56" s="314"/>
      <c r="F56" s="314"/>
      <c r="G56" s="42"/>
      <c r="H56" s="42"/>
      <c r="I56" s="43"/>
      <c r="J56" s="44"/>
      <c r="K56" s="44"/>
      <c r="L56" s="44"/>
      <c r="M56" s="44"/>
    </row>
    <row r="57" spans="1:13" x14ac:dyDescent="0.25">
      <c r="A57" s="40"/>
      <c r="B57" s="41"/>
      <c r="C57" s="314"/>
      <c r="D57" s="314"/>
      <c r="E57" s="314"/>
      <c r="F57" s="314"/>
      <c r="G57" s="42"/>
      <c r="H57" s="42"/>
      <c r="I57" s="43"/>
      <c r="J57" s="44"/>
      <c r="K57" s="44"/>
      <c r="L57" s="44"/>
      <c r="M57" s="44"/>
    </row>
    <row r="58" spans="1:13" x14ac:dyDescent="0.25">
      <c r="A58" s="40"/>
      <c r="B58" s="41"/>
      <c r="C58" s="314"/>
      <c r="D58" s="314"/>
      <c r="E58" s="314"/>
      <c r="F58" s="314"/>
      <c r="G58" s="42"/>
      <c r="H58" s="42"/>
      <c r="I58" s="43"/>
      <c r="J58" s="44"/>
      <c r="K58" s="44"/>
      <c r="L58" s="44"/>
      <c r="M58" s="44"/>
    </row>
    <row r="59" spans="1:13" x14ac:dyDescent="0.25">
      <c r="A59" s="40"/>
      <c r="B59" s="41"/>
      <c r="C59" s="314"/>
      <c r="D59" s="314"/>
      <c r="E59" s="314"/>
      <c r="F59" s="314"/>
      <c r="G59" s="42"/>
      <c r="H59" s="42"/>
      <c r="I59" s="43"/>
      <c r="J59" s="44"/>
      <c r="K59" s="44"/>
      <c r="L59" s="44"/>
      <c r="M59" s="44"/>
    </row>
    <row r="60" spans="1:13" x14ac:dyDescent="0.25">
      <c r="A60" s="40"/>
      <c r="B60" s="41"/>
      <c r="C60" s="314"/>
      <c r="D60" s="314"/>
      <c r="E60" s="314"/>
      <c r="F60" s="314"/>
      <c r="G60" s="42"/>
      <c r="H60" s="42"/>
      <c r="I60" s="43"/>
      <c r="J60" s="44"/>
      <c r="K60" s="44"/>
      <c r="L60" s="44"/>
      <c r="M60" s="44"/>
    </row>
    <row r="61" spans="1:13" x14ac:dyDescent="0.25">
      <c r="A61" s="40"/>
      <c r="B61" s="41"/>
      <c r="C61" s="314"/>
      <c r="D61" s="314"/>
      <c r="E61" s="314"/>
      <c r="F61" s="314"/>
      <c r="G61" s="42"/>
      <c r="H61" s="42"/>
      <c r="I61" s="43"/>
      <c r="J61" s="44"/>
      <c r="K61" s="44"/>
      <c r="L61" s="44"/>
      <c r="M61" s="44"/>
    </row>
    <row r="62" spans="1:13" x14ac:dyDescent="0.25">
      <c r="A62" s="40"/>
      <c r="B62" s="41"/>
      <c r="C62" s="314"/>
      <c r="D62" s="314"/>
      <c r="E62" s="314"/>
      <c r="F62" s="314"/>
      <c r="G62" s="42"/>
      <c r="H62" s="42"/>
      <c r="I62" s="43"/>
      <c r="J62" s="44"/>
      <c r="K62" s="44"/>
      <c r="L62" s="44"/>
      <c r="M62" s="44"/>
    </row>
    <row r="63" spans="1:13" x14ac:dyDescent="0.25">
      <c r="A63" s="40"/>
      <c r="B63" s="41"/>
      <c r="C63" s="314"/>
      <c r="D63" s="314"/>
      <c r="E63" s="314"/>
      <c r="F63" s="314"/>
      <c r="G63" s="42"/>
      <c r="H63" s="42"/>
      <c r="I63" s="43"/>
      <c r="J63" s="44"/>
      <c r="K63" s="44"/>
      <c r="L63" s="44"/>
      <c r="M63" s="44"/>
    </row>
    <row r="64" spans="1:13" x14ac:dyDescent="0.25">
      <c r="A64" s="40"/>
      <c r="B64" s="41"/>
      <c r="C64" s="314"/>
      <c r="D64" s="314"/>
      <c r="E64" s="314"/>
      <c r="F64" s="314"/>
      <c r="G64" s="42"/>
      <c r="H64" s="42"/>
      <c r="I64" s="43"/>
      <c r="J64" s="44"/>
      <c r="K64" s="44"/>
      <c r="L64" s="44"/>
      <c r="M64" s="44"/>
    </row>
    <row r="65" spans="1:13" x14ac:dyDescent="0.25">
      <c r="A65" s="40"/>
      <c r="B65" s="41"/>
      <c r="C65" s="314"/>
      <c r="D65" s="314"/>
      <c r="E65" s="314"/>
      <c r="F65" s="314"/>
      <c r="G65" s="42"/>
      <c r="H65" s="42"/>
      <c r="I65" s="43"/>
      <c r="J65" s="44"/>
      <c r="K65" s="44"/>
      <c r="L65" s="44"/>
      <c r="M65" s="44"/>
    </row>
    <row r="66" spans="1:13" x14ac:dyDescent="0.25">
      <c r="A66" s="40"/>
      <c r="B66" s="41"/>
      <c r="C66" s="314"/>
      <c r="D66" s="314"/>
      <c r="E66" s="314"/>
      <c r="F66" s="314"/>
      <c r="G66" s="42"/>
      <c r="H66" s="42"/>
      <c r="I66" s="43"/>
      <c r="J66" s="44"/>
      <c r="K66" s="44"/>
      <c r="L66" s="44"/>
      <c r="M66" s="44"/>
    </row>
    <row r="67" spans="1:13" x14ac:dyDescent="0.25">
      <c r="A67" s="40"/>
      <c r="B67" s="41"/>
      <c r="C67" s="314"/>
      <c r="D67" s="314"/>
      <c r="E67" s="314"/>
      <c r="F67" s="314"/>
      <c r="G67" s="42"/>
      <c r="H67" s="42"/>
      <c r="I67" s="43"/>
      <c r="J67" s="44"/>
      <c r="K67" s="44"/>
      <c r="L67" s="44"/>
      <c r="M67" s="44"/>
    </row>
    <row r="68" spans="1:13" x14ac:dyDescent="0.25">
      <c r="A68" s="40"/>
      <c r="B68" s="41"/>
      <c r="C68" s="314"/>
      <c r="D68" s="314"/>
      <c r="E68" s="314"/>
      <c r="F68" s="314"/>
      <c r="G68" s="42"/>
      <c r="H68" s="42"/>
      <c r="I68" s="43"/>
      <c r="J68" s="44"/>
      <c r="K68" s="44"/>
      <c r="L68" s="44"/>
      <c r="M68" s="44"/>
    </row>
    <row r="69" spans="1:13" x14ac:dyDescent="0.25">
      <c r="A69" s="40"/>
      <c r="B69" s="41"/>
      <c r="C69" s="314"/>
      <c r="D69" s="314"/>
      <c r="E69" s="314"/>
      <c r="F69" s="314"/>
      <c r="G69" s="42"/>
      <c r="H69" s="42"/>
      <c r="I69" s="43"/>
      <c r="J69" s="44"/>
      <c r="K69" s="44"/>
      <c r="L69" s="44"/>
      <c r="M69" s="44"/>
    </row>
    <row r="70" spans="1:13" x14ac:dyDescent="0.25">
      <c r="A70" s="40"/>
      <c r="B70" s="41"/>
      <c r="C70" s="314"/>
      <c r="D70" s="314"/>
      <c r="E70" s="314"/>
      <c r="F70" s="314"/>
      <c r="G70" s="42"/>
      <c r="H70" s="42"/>
      <c r="I70" s="43"/>
      <c r="J70" s="44"/>
      <c r="K70" s="44"/>
      <c r="L70" s="44"/>
      <c r="M70" s="44"/>
    </row>
    <row r="71" spans="1:13" x14ac:dyDescent="0.25">
      <c r="A71" s="40"/>
      <c r="B71" s="41"/>
      <c r="C71" s="314"/>
      <c r="D71" s="314"/>
      <c r="E71" s="314"/>
      <c r="F71" s="314"/>
      <c r="G71" s="42"/>
      <c r="H71" s="42"/>
      <c r="I71" s="43"/>
      <c r="J71" s="44"/>
      <c r="K71" s="44"/>
      <c r="L71" s="44"/>
      <c r="M71" s="44"/>
    </row>
    <row r="72" spans="1:13" x14ac:dyDescent="0.25">
      <c r="A72" s="40"/>
      <c r="B72" s="41"/>
      <c r="C72" s="314"/>
      <c r="D72" s="314"/>
      <c r="E72" s="314"/>
      <c r="F72" s="314"/>
      <c r="G72" s="42"/>
      <c r="H72" s="42"/>
      <c r="I72" s="43"/>
      <c r="J72" s="44"/>
      <c r="K72" s="44"/>
      <c r="L72" s="44"/>
      <c r="M72" s="44"/>
    </row>
    <row r="73" spans="1:13" x14ac:dyDescent="0.25">
      <c r="A73" s="40"/>
      <c r="B73" s="41"/>
      <c r="C73" s="314"/>
      <c r="D73" s="314"/>
      <c r="E73" s="314"/>
      <c r="F73" s="314"/>
      <c r="G73" s="42"/>
      <c r="H73" s="42"/>
      <c r="I73" s="43"/>
      <c r="J73" s="44"/>
      <c r="K73" s="44"/>
      <c r="L73" s="44"/>
      <c r="M73" s="44"/>
    </row>
    <row r="74" spans="1:13" x14ac:dyDescent="0.25">
      <c r="A74" s="40"/>
      <c r="B74" s="41"/>
      <c r="C74" s="314"/>
      <c r="D74" s="314"/>
      <c r="E74" s="314"/>
      <c r="F74" s="314"/>
      <c r="G74" s="42"/>
      <c r="H74" s="42"/>
      <c r="I74" s="43"/>
      <c r="J74" s="44"/>
      <c r="K74" s="44"/>
      <c r="L74" s="44"/>
      <c r="M74" s="44"/>
    </row>
    <row r="75" spans="1:13" x14ac:dyDescent="0.25">
      <c r="A75" s="40"/>
      <c r="B75" s="41"/>
      <c r="C75" s="314"/>
      <c r="D75" s="314"/>
      <c r="E75" s="314"/>
      <c r="F75" s="314"/>
      <c r="G75" s="42"/>
      <c r="H75" s="42"/>
      <c r="I75" s="43"/>
      <c r="J75" s="44"/>
      <c r="K75" s="44"/>
      <c r="L75" s="44"/>
      <c r="M75" s="44"/>
    </row>
    <row r="76" spans="1:13" x14ac:dyDescent="0.25">
      <c r="A76" s="40"/>
      <c r="B76" s="41"/>
      <c r="C76" s="314"/>
      <c r="D76" s="314"/>
      <c r="E76" s="314"/>
      <c r="F76" s="314"/>
      <c r="G76" s="42"/>
      <c r="H76" s="42"/>
      <c r="I76" s="43"/>
      <c r="J76" s="44"/>
      <c r="K76" s="44"/>
      <c r="L76" s="44"/>
      <c r="M76" s="44"/>
    </row>
    <row r="77" spans="1:13" x14ac:dyDescent="0.25">
      <c r="A77" s="40"/>
      <c r="B77" s="41"/>
      <c r="C77" s="314"/>
      <c r="D77" s="314"/>
      <c r="E77" s="314"/>
      <c r="F77" s="314"/>
      <c r="G77" s="42"/>
      <c r="H77" s="42"/>
      <c r="I77" s="43"/>
      <c r="J77" s="44"/>
      <c r="K77" s="44"/>
      <c r="L77" s="44"/>
      <c r="M77" s="44"/>
    </row>
    <row r="78" spans="1:13" x14ac:dyDescent="0.25">
      <c r="A78" s="40"/>
      <c r="B78" s="41"/>
      <c r="C78" s="314"/>
      <c r="D78" s="314"/>
      <c r="E78" s="314"/>
      <c r="F78" s="314"/>
      <c r="G78" s="42"/>
      <c r="H78" s="42"/>
      <c r="I78" s="43"/>
      <c r="J78" s="44"/>
      <c r="K78" s="44"/>
      <c r="L78" s="44"/>
      <c r="M78" s="44"/>
    </row>
    <row r="79" spans="1:13" x14ac:dyDescent="0.25">
      <c r="A79" s="40"/>
      <c r="B79" s="41"/>
      <c r="C79" s="314"/>
      <c r="D79" s="314"/>
      <c r="E79" s="314"/>
      <c r="F79" s="314"/>
      <c r="G79" s="42"/>
      <c r="H79" s="42"/>
      <c r="I79" s="43"/>
      <c r="J79" s="44"/>
      <c r="K79" s="44"/>
      <c r="L79" s="44"/>
      <c r="M79" s="44"/>
    </row>
    <row r="80" spans="1:13" x14ac:dyDescent="0.25">
      <c r="A80" s="40"/>
      <c r="B80" s="41"/>
      <c r="C80" s="314"/>
      <c r="D80" s="314"/>
      <c r="E80" s="314"/>
      <c r="F80" s="314"/>
      <c r="G80" s="42"/>
      <c r="H80" s="42"/>
      <c r="I80" s="43"/>
      <c r="J80" s="44"/>
      <c r="K80" s="44"/>
      <c r="L80" s="44"/>
      <c r="M80" s="44"/>
    </row>
    <row r="81" spans="1:13" x14ac:dyDescent="0.25">
      <c r="A81" s="46"/>
      <c r="C81" s="315"/>
      <c r="D81" s="315"/>
      <c r="E81" s="315"/>
      <c r="F81" s="315"/>
      <c r="G81" s="46"/>
      <c r="H81" s="46"/>
      <c r="I81" s="46"/>
      <c r="J81" s="46"/>
      <c r="K81" s="46"/>
      <c r="L81" s="46"/>
      <c r="M81" s="46"/>
    </row>
    <row r="82" spans="1:13" x14ac:dyDescent="0.25">
      <c r="A82" s="46"/>
      <c r="C82" s="315"/>
      <c r="D82" s="315"/>
      <c r="E82" s="315"/>
      <c r="F82" s="315"/>
      <c r="G82" s="46"/>
      <c r="H82" s="46"/>
      <c r="I82" s="46"/>
      <c r="J82" s="46"/>
      <c r="K82" s="46"/>
      <c r="L82" s="46"/>
      <c r="M82" s="46"/>
    </row>
    <row r="83" spans="1:13" x14ac:dyDescent="0.25">
      <c r="C83" s="313"/>
      <c r="D83" s="313"/>
      <c r="E83" s="313"/>
      <c r="F83" s="313"/>
      <c r="G83" s="46"/>
      <c r="H83" s="46"/>
      <c r="I83" s="46"/>
      <c r="J83" s="46"/>
      <c r="K83" s="46"/>
      <c r="L83" s="46"/>
      <c r="M83" s="46"/>
    </row>
    <row r="84" spans="1:13" x14ac:dyDescent="0.25">
      <c r="C84" s="313"/>
      <c r="D84" s="313"/>
      <c r="E84" s="313"/>
      <c r="F84" s="313"/>
      <c r="G84" s="46"/>
      <c r="H84" s="46"/>
      <c r="I84" s="46"/>
      <c r="J84" s="46"/>
      <c r="K84" s="46"/>
      <c r="L84" s="46"/>
      <c r="M84" s="46"/>
    </row>
    <row r="85" spans="1:13" x14ac:dyDescent="0.25">
      <c r="C85" s="313"/>
      <c r="D85" s="313"/>
      <c r="E85" s="313"/>
      <c r="F85" s="313"/>
      <c r="G85" s="46"/>
      <c r="H85" s="46"/>
      <c r="I85" s="46"/>
      <c r="J85" s="46"/>
      <c r="K85" s="46"/>
      <c r="L85" s="46"/>
      <c r="M85" s="46"/>
    </row>
    <row r="86" spans="1:13" x14ac:dyDescent="0.25">
      <c r="C86" s="313"/>
      <c r="D86" s="313"/>
      <c r="E86" s="313"/>
      <c r="F86" s="313"/>
      <c r="G86" s="46"/>
      <c r="H86" s="46"/>
      <c r="I86" s="46"/>
      <c r="J86" s="46"/>
      <c r="K86" s="46"/>
      <c r="L86" s="46"/>
      <c r="M86" s="46"/>
    </row>
    <row r="87" spans="1:13" x14ac:dyDescent="0.25">
      <c r="C87" s="313"/>
      <c r="D87" s="313"/>
      <c r="E87" s="313"/>
      <c r="F87" s="313"/>
      <c r="G87" s="46"/>
      <c r="H87" s="46"/>
      <c r="I87" s="46"/>
      <c r="J87" s="46"/>
      <c r="K87" s="46"/>
      <c r="L87" s="46"/>
      <c r="M87" s="46"/>
    </row>
    <row r="88" spans="1:13" x14ac:dyDescent="0.25">
      <c r="C88" s="313"/>
      <c r="D88" s="313"/>
      <c r="E88" s="313"/>
      <c r="F88" s="313"/>
      <c r="G88" s="46"/>
      <c r="H88" s="46"/>
      <c r="I88" s="46"/>
      <c r="J88" s="46"/>
      <c r="K88" s="46"/>
      <c r="L88" s="46"/>
      <c r="M88" s="46"/>
    </row>
  </sheetData>
  <mergeCells count="78">
    <mergeCell ref="C16:F16"/>
    <mergeCell ref="A5:N5"/>
    <mergeCell ref="A6:N6"/>
    <mergeCell ref="A7:N7"/>
    <mergeCell ref="A12:N12"/>
    <mergeCell ref="A13:N13"/>
    <mergeCell ref="A30:O30"/>
    <mergeCell ref="C17:F17"/>
    <mergeCell ref="A18:M18"/>
    <mergeCell ref="B19:B23"/>
    <mergeCell ref="C19:F19"/>
    <mergeCell ref="C20:F20"/>
    <mergeCell ref="C21:F21"/>
    <mergeCell ref="C22:F22"/>
    <mergeCell ref="C23:F23"/>
    <mergeCell ref="A24:L24"/>
    <mergeCell ref="C25:F25"/>
    <mergeCell ref="A26:O26"/>
    <mergeCell ref="A27:O27"/>
    <mergeCell ref="A29:O29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54:F54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66:F66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78:F78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85:F85"/>
    <mergeCell ref="C86:F86"/>
    <mergeCell ref="C87:F87"/>
    <mergeCell ref="C88:F88"/>
    <mergeCell ref="C79:F79"/>
    <mergeCell ref="C80:F80"/>
    <mergeCell ref="C81:F81"/>
    <mergeCell ref="C82:F82"/>
    <mergeCell ref="C83:F83"/>
    <mergeCell ref="C84:F84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Протокол согласования</vt:lpstr>
      <vt:lpstr>Протокол ВЛ-10</vt:lpstr>
      <vt:lpstr>Протокол ВЛ-0,4</vt:lpstr>
      <vt:lpstr>Протокол МТП, ТП, СТП</vt:lpstr>
      <vt:lpstr>ПИРы</vt:lpstr>
      <vt:lpstr>ПИРы!Область_печати</vt:lpstr>
      <vt:lpstr>'Протокол ВЛ-0,4'!Область_печати</vt:lpstr>
      <vt:lpstr>'Протокол ВЛ-10'!Область_печати</vt:lpstr>
      <vt:lpstr>'Протокол согласования'!Область_печати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2019-10-01T06:18:00Z</dcterms:modified>
</cp:coreProperties>
</file>