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330" yWindow="-15" windowWidth="14655" windowHeight="12585"/>
  </bookViews>
  <sheets>
    <sheet name="сводная таблица" sheetId="10" r:id="rId1"/>
    <sheet name="Расчет на 1 усл. ед." sheetId="1" r:id="rId2"/>
    <sheet name="Протокол МТП, ТП, СТП" sheetId="2" r:id="rId3"/>
    <sheet name="Протокол ВЛ-10" sheetId="5" r:id="rId4"/>
    <sheet name="Протокол ВЛ-0,4" sheetId="6" r:id="rId5"/>
    <sheet name="ПИРы" sheetId="9" r:id="rId6"/>
  </sheets>
  <definedNames>
    <definedName name="_xlnm._FilterDatabase" localSheetId="2" hidden="1">'Протокол МТП, ТП, СТП'!$A$16:$F$22</definedName>
    <definedName name="_xlnm.Print_Area" localSheetId="5">ПИРы!$A$1:$N$29</definedName>
    <definedName name="_xlnm.Print_Area" localSheetId="4">'Протокол ВЛ-0,4'!$A$1:$N$92</definedName>
    <definedName name="_xlnm.Print_Area" localSheetId="3">'Протокол ВЛ-10'!$A$1:$M$110</definedName>
    <definedName name="_xlnm.Print_Area" localSheetId="1">'Расчет на 1 усл. ед.'!$A$1:$G$56</definedName>
  </definedNames>
  <calcPr calcId="162913" calcOnSave="0"/>
</workbook>
</file>

<file path=xl/calcChain.xml><?xml version="1.0" encoding="utf-8"?>
<calcChain xmlns="http://schemas.openxmlformats.org/spreadsheetml/2006/main">
  <c r="D18" i="10" l="1"/>
  <c r="E14" i="10"/>
  <c r="E18" i="10" s="1"/>
  <c r="I50" i="5" l="1"/>
  <c r="K37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38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23" i="5"/>
  <c r="I43" i="6"/>
  <c r="K36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37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22" i="6"/>
  <c r="F21" i="2" l="1"/>
  <c r="I22" i="9"/>
  <c r="I68" i="6" l="1"/>
  <c r="I67" i="6"/>
  <c r="I66" i="6"/>
  <c r="I65" i="6"/>
  <c r="I63" i="6"/>
  <c r="I62" i="6"/>
  <c r="I61" i="6"/>
  <c r="I59" i="6"/>
  <c r="I50" i="6"/>
  <c r="I49" i="6"/>
  <c r="I46" i="6"/>
  <c r="I45" i="6"/>
  <c r="I44" i="6"/>
  <c r="I42" i="6"/>
  <c r="I40" i="6"/>
  <c r="I39" i="6"/>
  <c r="I38" i="6"/>
  <c r="I37" i="6"/>
  <c r="I34" i="6"/>
  <c r="I33" i="6"/>
  <c r="I32" i="6"/>
  <c r="I31" i="6"/>
  <c r="I30" i="6"/>
  <c r="I28" i="6"/>
  <c r="J50" i="5"/>
  <c r="L28" i="5"/>
  <c r="L69" i="5"/>
  <c r="L73" i="5"/>
  <c r="J24" i="5"/>
  <c r="L24" i="5" s="1"/>
  <c r="J25" i="5"/>
  <c r="L25" i="5" s="1"/>
  <c r="J26" i="5"/>
  <c r="L26" i="5" s="1"/>
  <c r="J27" i="5"/>
  <c r="L27" i="5" s="1"/>
  <c r="J28" i="5"/>
  <c r="J29" i="5"/>
  <c r="L29" i="5" s="1"/>
  <c r="J30" i="5"/>
  <c r="L30" i="5" s="1"/>
  <c r="J34" i="5"/>
  <c r="L34" i="5" s="1"/>
  <c r="J37" i="5"/>
  <c r="L37" i="5" s="1"/>
  <c r="J39" i="5"/>
  <c r="L39" i="5" s="1"/>
  <c r="J41" i="5"/>
  <c r="L41" i="5" s="1"/>
  <c r="J43" i="5"/>
  <c r="L43" i="5" s="1"/>
  <c r="J49" i="5"/>
  <c r="L49" i="5" s="1"/>
  <c r="J51" i="5"/>
  <c r="L51" i="5" s="1"/>
  <c r="J54" i="5"/>
  <c r="L54" i="5" s="1"/>
  <c r="J55" i="5"/>
  <c r="L55" i="5" s="1"/>
  <c r="J56" i="5"/>
  <c r="L56" i="5" s="1"/>
  <c r="J58" i="5"/>
  <c r="L58" i="5" s="1"/>
  <c r="J59" i="5"/>
  <c r="L59" i="5" s="1"/>
  <c r="J60" i="5"/>
  <c r="L60" i="5" s="1"/>
  <c r="J61" i="5"/>
  <c r="L61" i="5" s="1"/>
  <c r="J62" i="5"/>
  <c r="L62" i="5" s="1"/>
  <c r="J63" i="5"/>
  <c r="L63" i="5" s="1"/>
  <c r="J64" i="5"/>
  <c r="L64" i="5" s="1"/>
  <c r="J65" i="5"/>
  <c r="L65" i="5" s="1"/>
  <c r="J68" i="5"/>
  <c r="L68" i="5" s="1"/>
  <c r="J69" i="5"/>
  <c r="J70" i="5"/>
  <c r="L70" i="5" s="1"/>
  <c r="J71" i="5"/>
  <c r="L71" i="5" s="1"/>
  <c r="J72" i="5"/>
  <c r="L72" i="5" s="1"/>
  <c r="J73" i="5"/>
  <c r="J74" i="5"/>
  <c r="L74" i="5" s="1"/>
  <c r="J75" i="5"/>
  <c r="L75" i="5" s="1"/>
  <c r="J76" i="5"/>
  <c r="L76" i="5" s="1"/>
  <c r="J77" i="5"/>
  <c r="L77" i="5" s="1"/>
  <c r="J78" i="5"/>
  <c r="L78" i="5" s="1"/>
  <c r="J79" i="5"/>
  <c r="L79" i="5" s="1"/>
  <c r="J80" i="5"/>
  <c r="L80" i="5" s="1"/>
  <c r="J87" i="5"/>
  <c r="L87" i="5" s="1"/>
  <c r="J88" i="5"/>
  <c r="L88" i="5" s="1"/>
  <c r="J23" i="5"/>
  <c r="L23" i="5" s="1"/>
  <c r="M23" i="5" s="1"/>
  <c r="I88" i="5"/>
  <c r="I86" i="5"/>
  <c r="J86" i="5" s="1"/>
  <c r="L86" i="5" s="1"/>
  <c r="I85" i="5"/>
  <c r="J85" i="5" s="1"/>
  <c r="L85" i="5" s="1"/>
  <c r="I84" i="5"/>
  <c r="J84" i="5" s="1"/>
  <c r="L84" i="5" s="1"/>
  <c r="I83" i="5"/>
  <c r="J83" i="5" s="1"/>
  <c r="L83" i="5" s="1"/>
  <c r="I82" i="5"/>
  <c r="J82" i="5" s="1"/>
  <c r="L82" i="5" s="1"/>
  <c r="I81" i="5"/>
  <c r="J81" i="5" s="1"/>
  <c r="L81" i="5" s="1"/>
  <c r="I80" i="5"/>
  <c r="I68" i="5"/>
  <c r="I67" i="5"/>
  <c r="J67" i="5" s="1"/>
  <c r="L67" i="5" s="1"/>
  <c r="I66" i="5"/>
  <c r="J66" i="5" s="1"/>
  <c r="L66" i="5" s="1"/>
  <c r="I57" i="5"/>
  <c r="J57" i="5" s="1"/>
  <c r="L57" i="5" s="1"/>
  <c r="I56" i="5"/>
  <c r="I53" i="5"/>
  <c r="J53" i="5" s="1"/>
  <c r="L53" i="5" s="1"/>
  <c r="I52" i="5"/>
  <c r="J52" i="5" s="1"/>
  <c r="L52" i="5" s="1"/>
  <c r="I49" i="5"/>
  <c r="I48" i="5"/>
  <c r="J48" i="5" s="1"/>
  <c r="L48" i="5" s="1"/>
  <c r="I47" i="5"/>
  <c r="J47" i="5" s="1"/>
  <c r="L47" i="5" s="1"/>
  <c r="I46" i="5"/>
  <c r="J46" i="5" s="1"/>
  <c r="L46" i="5" s="1"/>
  <c r="I45" i="5"/>
  <c r="J45" i="5" s="1"/>
  <c r="L45" i="5" s="1"/>
  <c r="I44" i="5"/>
  <c r="J44" i="5" s="1"/>
  <c r="L44" i="5" s="1"/>
  <c r="I43" i="5"/>
  <c r="I42" i="5"/>
  <c r="J42" i="5" s="1"/>
  <c r="L42" i="5" s="1"/>
  <c r="I40" i="5"/>
  <c r="J40" i="5" s="1"/>
  <c r="L40" i="5" s="1"/>
  <c r="I38" i="5"/>
  <c r="J38" i="5" s="1"/>
  <c r="L38" i="5" s="1"/>
  <c r="I36" i="5"/>
  <c r="J36" i="5" s="1"/>
  <c r="L36" i="5" s="1"/>
  <c r="I35" i="5"/>
  <c r="J35" i="5" s="1"/>
  <c r="L35" i="5" s="1"/>
  <c r="I34" i="5"/>
  <c r="I33" i="5"/>
  <c r="J33" i="5" s="1"/>
  <c r="L33" i="5" s="1"/>
  <c r="I31" i="5"/>
  <c r="J31" i="5" s="1"/>
  <c r="L31" i="5" s="1"/>
  <c r="I32" i="5"/>
  <c r="J32" i="5" s="1"/>
  <c r="L32" i="5" s="1"/>
  <c r="F22" i="2"/>
  <c r="F23" i="2"/>
  <c r="F24" i="2"/>
  <c r="F25" i="2"/>
  <c r="F26" i="2"/>
  <c r="F20" i="2"/>
  <c r="L50" i="5" l="1"/>
  <c r="J89" i="5"/>
  <c r="M24" i="5"/>
  <c r="B42" i="1"/>
  <c r="B43" i="1"/>
  <c r="B38" i="1"/>
  <c r="B39" i="1"/>
  <c r="B40" i="1"/>
  <c r="B41" i="1"/>
  <c r="B37" i="1"/>
  <c r="B45" i="1" l="1"/>
  <c r="B46" i="1"/>
  <c r="B47" i="1"/>
  <c r="B48" i="1"/>
  <c r="B44" i="1"/>
  <c r="J68" i="6"/>
  <c r="L68" i="6" s="1"/>
  <c r="M68" i="6" s="1"/>
  <c r="G38" i="1"/>
  <c r="G39" i="1"/>
  <c r="G40" i="1"/>
  <c r="G41" i="1"/>
  <c r="G42" i="1"/>
  <c r="G43" i="1"/>
  <c r="B34" i="1" l="1"/>
  <c r="B21" i="1"/>
  <c r="B20" i="1"/>
  <c r="J23" i="9" l="1"/>
  <c r="L23" i="9" s="1"/>
  <c r="M23" i="9" s="1"/>
  <c r="D48" i="1" s="1"/>
  <c r="J22" i="9"/>
  <c r="L22" i="9" s="1"/>
  <c r="M22" i="9" s="1"/>
  <c r="D47" i="1" s="1"/>
  <c r="J21" i="9"/>
  <c r="L21" i="9" s="1"/>
  <c r="M21" i="9" s="1"/>
  <c r="D46" i="1" s="1"/>
  <c r="J20" i="9"/>
  <c r="L20" i="9" s="1"/>
  <c r="M20" i="9" s="1"/>
  <c r="D45" i="1" s="1"/>
  <c r="J19" i="9"/>
  <c r="L19" i="9" s="1"/>
  <c r="M19" i="9" s="1"/>
  <c r="D44" i="1" s="1"/>
  <c r="M24" i="9" l="1"/>
  <c r="G37" i="1"/>
  <c r="J70" i="6" l="1"/>
  <c r="L70" i="6" s="1"/>
  <c r="M70" i="6" s="1"/>
  <c r="J69" i="6"/>
  <c r="L69" i="6" s="1"/>
  <c r="M69" i="6" s="1"/>
  <c r="J67" i="6"/>
  <c r="L67" i="6" s="1"/>
  <c r="M67" i="6" s="1"/>
  <c r="J66" i="6"/>
  <c r="L66" i="6" s="1"/>
  <c r="M66" i="6" s="1"/>
  <c r="J65" i="6"/>
  <c r="L65" i="6" s="1"/>
  <c r="M65" i="6" s="1"/>
  <c r="J64" i="6"/>
  <c r="L64" i="6" s="1"/>
  <c r="M64" i="6" s="1"/>
  <c r="J63" i="6"/>
  <c r="L63" i="6" s="1"/>
  <c r="M63" i="6" s="1"/>
  <c r="J62" i="6"/>
  <c r="L62" i="6" s="1"/>
  <c r="M62" i="6" s="1"/>
  <c r="J61" i="6"/>
  <c r="L61" i="6" s="1"/>
  <c r="M61" i="6" s="1"/>
  <c r="J60" i="6"/>
  <c r="L60" i="6" s="1"/>
  <c r="M60" i="6" s="1"/>
  <c r="J59" i="6"/>
  <c r="L59" i="6" s="1"/>
  <c r="M59" i="6" s="1"/>
  <c r="J58" i="6"/>
  <c r="L58" i="6" s="1"/>
  <c r="M58" i="6" s="1"/>
  <c r="J57" i="6"/>
  <c r="L57" i="6" s="1"/>
  <c r="M57" i="6" s="1"/>
  <c r="J56" i="6"/>
  <c r="L56" i="6" s="1"/>
  <c r="M56" i="6" s="1"/>
  <c r="M82" i="6" s="1"/>
  <c r="J55" i="6"/>
  <c r="J54" i="6"/>
  <c r="J53" i="6"/>
  <c r="L53" i="6" s="1"/>
  <c r="M53" i="6" s="1"/>
  <c r="J52" i="6"/>
  <c r="L52" i="6" s="1"/>
  <c r="M52" i="6" s="1"/>
  <c r="J51" i="6"/>
  <c r="L51" i="6" s="1"/>
  <c r="M51" i="6" s="1"/>
  <c r="J50" i="6"/>
  <c r="L50" i="6" s="1"/>
  <c r="M50" i="6" s="1"/>
  <c r="J49" i="6"/>
  <c r="L49" i="6" s="1"/>
  <c r="M49" i="6" s="1"/>
  <c r="J48" i="6"/>
  <c r="L48" i="6" s="1"/>
  <c r="M48" i="6" s="1"/>
  <c r="J47" i="6"/>
  <c r="L47" i="6" s="1"/>
  <c r="M47" i="6" s="1"/>
  <c r="J45" i="6"/>
  <c r="L45" i="6" s="1"/>
  <c r="M45" i="6" s="1"/>
  <c r="J44" i="6"/>
  <c r="L44" i="6" s="1"/>
  <c r="M44" i="6" s="1"/>
  <c r="J43" i="6"/>
  <c r="L43" i="6" s="1"/>
  <c r="M43" i="6" s="1"/>
  <c r="J42" i="6"/>
  <c r="L42" i="6" s="1"/>
  <c r="M42" i="6" s="1"/>
  <c r="J41" i="6"/>
  <c r="L41" i="6" s="1"/>
  <c r="M41" i="6" s="1"/>
  <c r="J40" i="6"/>
  <c r="L40" i="6" s="1"/>
  <c r="M40" i="6" s="1"/>
  <c r="J39" i="6"/>
  <c r="L39" i="6" s="1"/>
  <c r="M39" i="6" s="1"/>
  <c r="J38" i="6"/>
  <c r="L38" i="6" s="1"/>
  <c r="M38" i="6" s="1"/>
  <c r="J37" i="6"/>
  <c r="L37" i="6" s="1"/>
  <c r="M37" i="6" s="1"/>
  <c r="J36" i="6"/>
  <c r="L36" i="6" s="1"/>
  <c r="M36" i="6" s="1"/>
  <c r="J34" i="6"/>
  <c r="L34" i="6" s="1"/>
  <c r="M34" i="6" s="1"/>
  <c r="J33" i="6"/>
  <c r="L33" i="6" s="1"/>
  <c r="M33" i="6" s="1"/>
  <c r="J32" i="6"/>
  <c r="L32" i="6" s="1"/>
  <c r="M32" i="6" s="1"/>
  <c r="J31" i="6"/>
  <c r="L31" i="6" s="1"/>
  <c r="M31" i="6" s="1"/>
  <c r="J30" i="6"/>
  <c r="L30" i="6" s="1"/>
  <c r="M30" i="6" s="1"/>
  <c r="J29" i="6"/>
  <c r="L29" i="6" s="1"/>
  <c r="M29" i="6" s="1"/>
  <c r="J28" i="6"/>
  <c r="L28" i="6" s="1"/>
  <c r="M28" i="6" s="1"/>
  <c r="J27" i="6"/>
  <c r="L27" i="6" s="1"/>
  <c r="M27" i="6" s="1"/>
  <c r="J26" i="6"/>
  <c r="L26" i="6" s="1"/>
  <c r="M26" i="6" s="1"/>
  <c r="J25" i="6"/>
  <c r="L25" i="6" s="1"/>
  <c r="M25" i="6" s="1"/>
  <c r="J24" i="6"/>
  <c r="L24" i="6" s="1"/>
  <c r="M24" i="6" s="1"/>
  <c r="J23" i="6"/>
  <c r="L23" i="6" s="1"/>
  <c r="M23" i="6" s="1"/>
  <c r="J22" i="6"/>
  <c r="L22" i="6" s="1"/>
  <c r="M22" i="6" s="1"/>
  <c r="M81" i="6" l="1"/>
  <c r="L55" i="6"/>
  <c r="M55" i="6" s="1"/>
  <c r="L54" i="6"/>
  <c r="M54" i="6" s="1"/>
  <c r="M80" i="6" s="1"/>
  <c r="D31" i="1" s="1"/>
  <c r="M73" i="6"/>
  <c r="M84" i="6"/>
  <c r="D35" i="1" s="1"/>
  <c r="M74" i="6"/>
  <c r="D32" i="1"/>
  <c r="M78" i="6"/>
  <c r="D29" i="1" s="1"/>
  <c r="M75" i="6"/>
  <c r="D26" i="1" s="1"/>
  <c r="M76" i="6"/>
  <c r="M77" i="6"/>
  <c r="M83" i="6"/>
  <c r="E33" i="1"/>
  <c r="M79" i="6"/>
  <c r="D30" i="1" s="1"/>
  <c r="J35" i="6"/>
  <c r="L35" i="6" s="1"/>
  <c r="M35" i="6" s="1"/>
  <c r="J46" i="6"/>
  <c r="L46" i="6" l="1"/>
  <c r="M46" i="6" s="1"/>
  <c r="M71" i="6" s="1"/>
  <c r="D34" i="1"/>
  <c r="E28" i="1"/>
  <c r="E27" i="1"/>
  <c r="D25" i="1"/>
  <c r="D24" i="1"/>
  <c r="M86" i="5"/>
  <c r="M79" i="5"/>
  <c r="M78" i="5"/>
  <c r="M77" i="5"/>
  <c r="M76" i="5"/>
  <c r="M75" i="5"/>
  <c r="M74" i="5"/>
  <c r="M73" i="5"/>
  <c r="M72" i="5"/>
  <c r="M71" i="5"/>
  <c r="M70" i="5"/>
  <c r="M69" i="5"/>
  <c r="M68" i="5"/>
  <c r="M67" i="5"/>
  <c r="M66" i="5"/>
  <c r="M40" i="5"/>
  <c r="M26" i="5"/>
  <c r="M25" i="5"/>
  <c r="M85" i="6" l="1"/>
  <c r="D36" i="1" s="1"/>
  <c r="M32" i="5"/>
  <c r="M35" i="5"/>
  <c r="M36" i="5"/>
  <c r="M37" i="5"/>
  <c r="M38" i="5"/>
  <c r="M41" i="5"/>
  <c r="M42" i="5"/>
  <c r="M43" i="5"/>
  <c r="M44" i="5"/>
  <c r="M45" i="5"/>
  <c r="M46" i="5"/>
  <c r="M47" i="5"/>
  <c r="M48" i="5"/>
  <c r="M49" i="5"/>
  <c r="M50" i="5"/>
  <c r="M87" i="5"/>
  <c r="M88" i="5"/>
  <c r="M27" i="5"/>
  <c r="M28" i="5"/>
  <c r="M29" i="5"/>
  <c r="M30" i="5"/>
  <c r="M31" i="5"/>
  <c r="M33" i="5"/>
  <c r="M39" i="5"/>
  <c r="M57" i="5"/>
  <c r="M58" i="5"/>
  <c r="M104" i="5" s="1"/>
  <c r="M59" i="5"/>
  <c r="M97" i="5" s="1"/>
  <c r="M60" i="5"/>
  <c r="M98" i="5" s="1"/>
  <c r="M61" i="5"/>
  <c r="M99" i="5" s="1"/>
  <c r="M62" i="5"/>
  <c r="M100" i="5" s="1"/>
  <c r="M63" i="5"/>
  <c r="M101" i="5" s="1"/>
  <c r="M64" i="5"/>
  <c r="M65" i="5"/>
  <c r="M80" i="5"/>
  <c r="M81" i="5"/>
  <c r="M82" i="5"/>
  <c r="M83" i="5"/>
  <c r="M84" i="5"/>
  <c r="M85" i="5"/>
  <c r="M34" i="5"/>
  <c r="M94" i="5" l="1"/>
  <c r="F12" i="1" s="1"/>
  <c r="M93" i="5"/>
  <c r="D11" i="1" s="1"/>
  <c r="M95" i="5"/>
  <c r="F13" i="1" s="1"/>
  <c r="D18" i="1"/>
  <c r="M55" i="5"/>
  <c r="D22" i="1"/>
  <c r="M51" i="5"/>
  <c r="D17" i="1"/>
  <c r="M54" i="5"/>
  <c r="D16" i="1"/>
  <c r="M53" i="5"/>
  <c r="M92" i="5"/>
  <c r="D10" i="1" s="1"/>
  <c r="M102" i="5"/>
  <c r="D20" i="1" s="1"/>
  <c r="M96" i="5"/>
  <c r="F14" i="1" s="1"/>
  <c r="F19" i="1"/>
  <c r="M56" i="5"/>
  <c r="D15" i="1"/>
  <c r="M52" i="5"/>
  <c r="M103" i="5"/>
  <c r="D21" i="1" s="1"/>
  <c r="M91" i="5"/>
  <c r="D9" i="1" s="1"/>
  <c r="M89" i="5" l="1"/>
  <c r="M105" i="5"/>
  <c r="D23" i="1" s="1"/>
</calcChain>
</file>

<file path=xl/sharedStrings.xml><?xml version="1.0" encoding="utf-8"?>
<sst xmlns="http://schemas.openxmlformats.org/spreadsheetml/2006/main" count="629" uniqueCount="300">
  <si>
    <t>№ п/п</t>
  </si>
  <si>
    <t>Ед. изм.</t>
  </si>
  <si>
    <t>ВЛ-0,4 кВ, ВЛ 6-10 кВ</t>
  </si>
  <si>
    <t>ВЛ-0,4 кВ</t>
  </si>
  <si>
    <t>ВЛ 6-10 кВ</t>
  </si>
  <si>
    <t>провод</t>
  </si>
  <si>
    <t>опоры</t>
  </si>
  <si>
    <t>1 опора</t>
  </si>
  <si>
    <t>При условии поставки МТР подрядчиком, тыс. руб/ед.изм</t>
  </si>
  <si>
    <t>Подвеска провода 6 кВ (СИП-3 1х50-20)</t>
  </si>
  <si>
    <t>Подвеска провода 6 кВ (СИП-3 1х35-20)</t>
  </si>
  <si>
    <t>Подвеска провода 6 кВ  (СИП-3 1х70-20)</t>
  </si>
  <si>
    <t xml:space="preserve">Выправка жб опоры одностоечной  </t>
  </si>
  <si>
    <t xml:space="preserve">Демонтаж жб опоры одностоечной  </t>
  </si>
  <si>
    <t>Демонтаж жб опоры с подкосом</t>
  </si>
  <si>
    <t>Демонтаж жб опоры одностоечной с двумя подкосами</t>
  </si>
  <si>
    <t>Проводник заземляющий открыто по строительным основаниям: из круглой стали диаметром 12 мм</t>
  </si>
  <si>
    <t>Заземлитель вертикальный из угловой стали размером: 50х50х5 мм</t>
  </si>
  <si>
    <t>Заземлитель горизонтальный из стали: полосовой сечением 160 мм2</t>
  </si>
  <si>
    <t>Определение и закрепление мест установки опор по трассам ВЛ</t>
  </si>
  <si>
    <t>Валка деревьев, трелевка древесина, обрезка крон</t>
  </si>
  <si>
    <t>1 км</t>
  </si>
  <si>
    <t>1 дерево</t>
  </si>
  <si>
    <t>1 ед</t>
  </si>
  <si>
    <t>Установка жб опоры 0,4 кВ одностоечная</t>
  </si>
  <si>
    <t>Установка жб опоры 0,4 кВ одностоечная с 1 подкосом</t>
  </si>
  <si>
    <t>Установка жб опоры 0,4 кВ одностоечная с 2 подкосами</t>
  </si>
  <si>
    <t>Подвеска провода 0,4 кВ (СИП-2 3х70+1х54,6-0,6/1,0)</t>
  </si>
  <si>
    <t>Подвеска провода 0,4 кВ (СИП-2 3х50+1х54,6-0,6/1,0)</t>
  </si>
  <si>
    <t>Демонтаж провода 0,4 кВ</t>
  </si>
  <si>
    <t>1 шт.</t>
  </si>
  <si>
    <t>Составил: Ведущий инженер ОКСиИ ___________________________ Казаков В.В.</t>
  </si>
  <si>
    <t>(должность, подпись, расшифровка)</t>
  </si>
  <si>
    <t xml:space="preserve">Вид работ по конструктивным решениям </t>
  </si>
  <si>
    <t>Приложение №3</t>
  </si>
  <si>
    <t>к техническому заданию договора</t>
  </si>
  <si>
    <t>ПРОТОКОЛ СОГЛАСОВАНИЯ (ВЕДОМОСТЬ)</t>
  </si>
  <si>
    <t>ДОГОВОРНОЙ ЦЕНЫ</t>
  </si>
  <si>
    <t>Коэффициенты, учитывающие  прогнозные цены и  лимитированные затраты:</t>
  </si>
  <si>
    <t>Обоснование</t>
  </si>
  <si>
    <t>Вид работ</t>
  </si>
  <si>
    <t>Договорная цена (без НДС)</t>
  </si>
  <si>
    <t>ЛСР №3</t>
  </si>
  <si>
    <t>ЛСР №4</t>
  </si>
  <si>
    <t>ЛСР №5</t>
  </si>
  <si>
    <t>Приложение №1</t>
  </si>
  <si>
    <t>к техническому задание договора</t>
  </si>
  <si>
    <t>№ ___ от "_____№ _______________ г.</t>
  </si>
  <si>
    <t>"Строительство, демонтаж  ВЛ-6 (10) кВ на единицу объема"</t>
  </si>
  <si>
    <t>Коэффициенты, учитывающие прогнозные цены  и лимитированные затраты</t>
  </si>
  <si>
    <t>для пусконаладочных работ</t>
  </si>
  <si>
    <t>№. поз.</t>
  </si>
  <si>
    <t>Шифр и № расценки</t>
  </si>
  <si>
    <t>Наименование работ</t>
  </si>
  <si>
    <t>Еденица измерения</t>
  </si>
  <si>
    <t>Количество</t>
  </si>
  <si>
    <t>Цена за ед. изм</t>
  </si>
  <si>
    <t>Стоимость, руб.</t>
  </si>
  <si>
    <t>К или К1</t>
  </si>
  <si>
    <t>Договорная цена, руб. (без НДС)</t>
  </si>
  <si>
    <t>Траверса на опоре</t>
  </si>
  <si>
    <t>Развозка конструкций и материалов опор ВЛ 0,38-10 кВ по трассе: одностоечных железобетонных опор</t>
  </si>
  <si>
    <t>Развозка конструкций и материалов опор ВЛ 0,38-10 кВ по трассе: материалов оснастки одностоечных опор</t>
  </si>
  <si>
    <t>Развозка конструкций и материалов опор ВЛ 0,38-10 кВ по трассе: материалов оснастки сложных опор</t>
  </si>
  <si>
    <t>Установка железобетонных опор ВЛ 0,38; 6-10 кВ с траверсами без приставок: одностоечных</t>
  </si>
  <si>
    <t>Установка железобетонных опор ВЛ 0,38; 6-10 кВ с траверсами без приставок: одностоечных с одним подкосом</t>
  </si>
  <si>
    <t>Установка железобетонных опор ВЛ 0,38; 6-10 кВ с траверсами без приставок: одностоечных с двумя подкосами</t>
  </si>
  <si>
    <t>Установка разъединителей: с помощью механизмов</t>
  </si>
  <si>
    <t>Измерение сопротивления растеканию тока: контура с диагональю до 20 м</t>
  </si>
  <si>
    <t>Присоединение к зажимам жил проводов или кабелей сечением: до 70 мм2</t>
  </si>
  <si>
    <t>Подвеска проводов ВЛ 6-10 кВ в ненаселенной местности сечением: свыше 35 мм2 с помощью механизмов</t>
  </si>
  <si>
    <t>При увеличении количества опор на 1 км ВЛ добавлять: к расценке 33-04-009-02</t>
  </si>
  <si>
    <t>Установка разрядников: с помощью механизмов</t>
  </si>
  <si>
    <t>Разработка грунта вручную с креплениями в траншеях шириной до 2 м, глубиной: до 2 м, группа грунтов 3</t>
  </si>
  <si>
    <t>Засыпка вручную траншей, пазух котлованов и ям, группа грунтов: 2</t>
  </si>
  <si>
    <t>Расчистка площадей от кустарника и мелколесья машинами глубинной подготовки полей на тракторе мощностью: 103 кВт (140 л.с.)</t>
  </si>
  <si>
    <t>Расчистка площадей от кустарника и мелколесья вручную: при средней поросли</t>
  </si>
  <si>
    <t>Валка деревьев мягких пород с корня, диаметр стволов: до 32 см</t>
  </si>
  <si>
    <t>Трелевка древесины на расстояние до 300 м тракторами мощностью: 59 кВт (80 л.с.), диаметр стволов свыше 30 см</t>
  </si>
  <si>
    <t>Обрезка и прореживание крон деревьев: при диаметре ствола до 250 мм, количеством срезов 15-20</t>
  </si>
  <si>
    <t>Установка упора П-образного укоса</t>
  </si>
  <si>
    <t>Справочник базовых цен на инженерно-геодезические изыскания для строительства СБЦ</t>
  </si>
  <si>
    <t>Выправка железобетонных опор ВЛ 0,38; 6-10 кВ с траверсами без приставок: одностоечных</t>
  </si>
  <si>
    <t>Демонтаж опор ВЛ 0,38-10 кВ: без приставок одностоечных</t>
  </si>
  <si>
    <t>Демонтаж опор ВЛ 0,38-10 кВ: без приставок одностоечных с подкосом</t>
  </si>
  <si>
    <t>Демонтаж опор ВЛ 0,38-10 кВ: без приставок одностоечных с двумя подкосами</t>
  </si>
  <si>
    <t>шт</t>
  </si>
  <si>
    <t>Итого</t>
  </si>
  <si>
    <t>в т.ч. по конструктивным решениям</t>
  </si>
  <si>
    <t>Приложение №2</t>
  </si>
  <si>
    <t>"Строительство, демонтаж  ВЛ-0,4 кВ на единицу объема"</t>
  </si>
  <si>
    <t xml:space="preserve">Заземлитель горизонтальный из стали: полосовой сечением 160 мм2
</t>
  </si>
  <si>
    <t xml:space="preserve">Засыпка вручную траншей, пазух котлованов и ям, группа грунтов: 2
</t>
  </si>
  <si>
    <t>Ввод гибкий, наружный диаметр металлорукава: до 60 мм</t>
  </si>
  <si>
    <t>Демонтаж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</si>
  <si>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Узел крепления подкоса У-3</t>
  </si>
  <si>
    <t>Плашечный зажим CD 35</t>
  </si>
  <si>
    <t>Хомут стяжной (СИП) Е778</t>
  </si>
  <si>
    <t>Скрепа размером 20 мм NC20 (СИП)</t>
  </si>
  <si>
    <t>Лента крепления шириной 20 мм, толщиной 0,7 мм, длиной 50 м из нержавеющей стали (в пластмасовой коробке с кабельной бухтой) F207 (СИП)</t>
  </si>
  <si>
    <t>Зажим РС-481</t>
  </si>
  <si>
    <t>Смесь песчано-гравийная природная</t>
  </si>
  <si>
    <t>Выключатели автоматические: ВА51-35-34-0010-20 I-250А</t>
  </si>
  <si>
    <t>поставка МТР подрядчиком</t>
  </si>
  <si>
    <t xml:space="preserve">ФАО ХЭС </t>
  </si>
  <si>
    <t>Коэффициент, учитывающий условия производства работ и лимитированные затраты</t>
  </si>
  <si>
    <t>для пусконаладочных  работ</t>
  </si>
  <si>
    <t>для строительно-монтажных и демонтажных работ:</t>
  </si>
  <si>
    <t>"Разработка проектно-сметной документации на единицу объема"</t>
  </si>
  <si>
    <t>Раздел 1. Разработка проектно-сметной документации</t>
  </si>
  <si>
    <t>Справочник базовых цен на проектные работы для строительства КИСиС. Москва 2012 г.</t>
  </si>
  <si>
    <t>Рабочий проект ВЛ-6 (10) кВ</t>
  </si>
  <si>
    <t xml:space="preserve">1 шт </t>
  </si>
  <si>
    <t>Рабочий проект  ВЛ-0,4 кВ</t>
  </si>
  <si>
    <t xml:space="preserve">Рабочий проект  КТП </t>
  </si>
  <si>
    <t>МТП, КТП, СТП 6(10)/0,4 кВ</t>
  </si>
  <si>
    <t>Заземление траверс на опорах ВЛ 6,10 кВ</t>
  </si>
  <si>
    <t>Контур заземления разъединителя</t>
  </si>
  <si>
    <t>Валка деревьев, трелевка древесины, обрезка крон</t>
  </si>
  <si>
    <t>Повторное заземление нулевого провода ВЛ-0,4 кВ</t>
  </si>
  <si>
    <t>Установка жб опоры 6,10 кВ одностоечная</t>
  </si>
  <si>
    <t>Установка жб опоры 6,10 кВ одностоечная с 1 подкосом</t>
  </si>
  <si>
    <t>Установка жб опоры 6,10 кВ одностоечная с 2 подкосами</t>
  </si>
  <si>
    <t>Демонтаж провода 6,10 кВ</t>
  </si>
  <si>
    <t>Подвеска провода 6,10 кВ (СИП-3 1х50-20)</t>
  </si>
  <si>
    <t>Подвеска провода 6,10 кВ (СИП-3 1х35-20)</t>
  </si>
  <si>
    <t>Подвеска провода 6,10 кВ  (СИП-3 1х70-20)</t>
  </si>
  <si>
    <t>1шт</t>
  </si>
  <si>
    <t xml:space="preserve"> </t>
  </si>
  <si>
    <t>Приложение №4</t>
  </si>
  <si>
    <t>Рабочий проект  СТП</t>
  </si>
  <si>
    <t xml:space="preserve">Рабочий проект  МТП </t>
  </si>
  <si>
    <t>Проверил: Начальник ОКСиИ  ___________________________  Шаркунов М.М.</t>
  </si>
  <si>
    <t>Проверил: Начальник ОКСиИ  __________________</t>
  </si>
  <si>
    <t>__________________Шаркунов М.М.</t>
  </si>
  <si>
    <t>ЛСР №6</t>
  </si>
  <si>
    <t>ЛСР №7</t>
  </si>
  <si>
    <t>ЛСР №8</t>
  </si>
  <si>
    <t>Монтаж СТП 25кВА ВВ, тупиковая</t>
  </si>
  <si>
    <t>Монтаж СТП 40кВА ВВ, тупиковая</t>
  </si>
  <si>
    <t>Монтаж МТП 40кВА ВВ, тупиковая</t>
  </si>
  <si>
    <t>Монтаж МТП 100кВА ВВ, тупиковая</t>
  </si>
  <si>
    <t>Монтаж МТП 250кВА ВВ, тупиковая</t>
  </si>
  <si>
    <t>Монтаж КТПН-250кВА ВВ, тупиковая</t>
  </si>
  <si>
    <t>Монтаж КТПН-400кВА ВВ, тупиковая</t>
  </si>
  <si>
    <t>ФЕРм08-02-305-04</t>
  </si>
  <si>
    <t>ФЕР33-04-016-02</t>
  </si>
  <si>
    <t>ФЕР33-04-016-05</t>
  </si>
  <si>
    <t>ФЕР33-04-016-06</t>
  </si>
  <si>
    <t>ФЕР33-04-003-01</t>
  </si>
  <si>
    <t>ФЕР33-04-003-02</t>
  </si>
  <si>
    <t>ФЕР33-04-003-03</t>
  </si>
  <si>
    <t>ФЕР33-04-030-03</t>
  </si>
  <si>
    <t>ФЕРм08-02-472-09</t>
  </si>
  <si>
    <t>ФЕРм08-02-472-02</t>
  </si>
  <si>
    <t>ФЕРм08-02-471-01</t>
  </si>
  <si>
    <t>ФЕРп01-11-010-02</t>
  </si>
  <si>
    <t>ФЕРм08-02-144-05</t>
  </si>
  <si>
    <t>ФЕР33-04-009-02</t>
  </si>
  <si>
    <t>ФЕР33-04-009-10</t>
  </si>
  <si>
    <t>ФЕР33-04-030-01</t>
  </si>
  <si>
    <t>ФЕР01-02-055-03</t>
  </si>
  <si>
    <t>ФЕР01-02-061-02</t>
  </si>
  <si>
    <t>ФЕР01-02-118-02</t>
  </si>
  <si>
    <t>ФЕР01-02-119-02</t>
  </si>
  <si>
    <t>ФЕР01-02-099-05</t>
  </si>
  <si>
    <t>ФЕР01-02-100-03</t>
  </si>
  <si>
    <t>ФЕР47-01-108-01</t>
  </si>
  <si>
    <t>ФССЦ-08.3.04.02-0092</t>
  </si>
  <si>
    <t>ФССЦ-08.3.07.01-0042</t>
  </si>
  <si>
    <t>ФССЦ-08.3.08.02-0052</t>
  </si>
  <si>
    <t>(компл.)</t>
  </si>
  <si>
    <t>(100 м)</t>
  </si>
  <si>
    <t xml:space="preserve">Сталь круглая углеродистая обыкновенного качества марки ВСт3пс5-1 диаметром: 10 мм
</t>
  </si>
  <si>
    <t>(т)</t>
  </si>
  <si>
    <t xml:space="preserve">Сталь полосовая: 40х4 мм, кипящая
</t>
  </si>
  <si>
    <t>(10 шт)</t>
  </si>
  <si>
    <t>измерение</t>
  </si>
  <si>
    <t>(100 шт)</t>
  </si>
  <si>
    <t>(км)</t>
  </si>
  <si>
    <t>(шт)</t>
  </si>
  <si>
    <t>Сталь угловая равнополочная, марка стали: ВСт3кп2, размером 50x50x5 мм</t>
  </si>
  <si>
    <t>Сталь полосовая: 40х4 мм, кипящая</t>
  </si>
  <si>
    <t>Сталь круглая углеродистая обыкновенного качества марки ВСт3пс5-1 диаметром: 10 мм</t>
  </si>
  <si>
    <t xml:space="preserve">Разработка грунта вручную с креплениями в траншеях шириной до 2 м, глубиной: до 2 м, группа грунтов 3
</t>
  </si>
  <si>
    <t>(100 м3)</t>
  </si>
  <si>
    <t>ФСЭМ-91.14.02-001</t>
  </si>
  <si>
    <t>ФССЦ-08.3.11.01-0060</t>
  </si>
  <si>
    <t>ФЕР33-04-042-01</t>
  </si>
  <si>
    <t>ФЕР33-04-042-02</t>
  </si>
  <si>
    <t>ФЕР33-04-042-03</t>
  </si>
  <si>
    <t>ФЕР33-04-040-03</t>
  </si>
  <si>
    <t>ФССЦ-05.1.02.07-0070</t>
  </si>
  <si>
    <t>ФССЦ-21.2.01.01-0048</t>
  </si>
  <si>
    <t>ФССЦ-21.2.01.01-0046</t>
  </si>
  <si>
    <t>ФССЦ-21.2.01.01-0050</t>
  </si>
  <si>
    <t>ФССЦ-02.2.04.03-0003</t>
  </si>
  <si>
    <t>ФССЦ-20.5.04.04-0001</t>
  </si>
  <si>
    <t>ФССЦ-20.1.02.22-0005</t>
  </si>
  <si>
    <t>ФССЦ-01.7.15.10-0031</t>
  </si>
  <si>
    <t>ФССЦ-20.1.02.14-0007</t>
  </si>
  <si>
    <t>ФССЦ-22.2.02.07-0003</t>
  </si>
  <si>
    <t>(га)</t>
  </si>
  <si>
    <t>(100 м2)</t>
  </si>
  <si>
    <t>Автомобили бортовые, грузоподъемность: до 5 т</t>
  </si>
  <si>
    <t>(маш.-ч)</t>
  </si>
  <si>
    <t>Швеллеры: № 20 сталь марки Ст3пс</t>
  </si>
  <si>
    <t>(1 ед.)</t>
  </si>
  <si>
    <t>Стойка опоры: СВ 105 /бетон В30 (М400), объем 0,47 м3, расход арматуры 74,8 кг/ (серия 3.407.1-143; 3.407.1-136)</t>
  </si>
  <si>
    <t>Узел крепления подкоса У-1</t>
  </si>
  <si>
    <t>Провода самонесущие изолированные для воздушных линий электропередачи с алюминиевыми жилами марки: СИП-3 1х50-35</t>
  </si>
  <si>
    <t>(1000 м)</t>
  </si>
  <si>
    <t>Провода самонесущие изолированные для воздушных линий электропередачи с алюминиевыми жилами марки: СИП-3 1х35-35</t>
  </si>
  <si>
    <t>Провода самонесущие изолированные для воздушных линий электропередачи с алюминиевыми жилами марки: СИП-3 1х70-35</t>
  </si>
  <si>
    <t>(м3)</t>
  </si>
  <si>
    <t>Траверса ТМ4</t>
  </si>
  <si>
    <t>(шт.)</t>
  </si>
  <si>
    <t>Изолятор ШФ 20Г.1</t>
  </si>
  <si>
    <t>Разрядник УЗД 1.2</t>
  </si>
  <si>
    <t>ОПН-6/680/7,2</t>
  </si>
  <si>
    <t>Ответвительный зажим RРN 150</t>
  </si>
  <si>
    <t>Зажим ПС 2-2</t>
  </si>
  <si>
    <t>Зажим ПС 2-1</t>
  </si>
  <si>
    <t>Хомут Х1</t>
  </si>
  <si>
    <t>Оголовок ОГ57</t>
  </si>
  <si>
    <t>Траверса ТМ73а</t>
  </si>
  <si>
    <t>Траверса ТМ80а</t>
  </si>
  <si>
    <t>Вязка спиральная СО 35 (35-50)</t>
  </si>
  <si>
    <t>(1 компл)</t>
  </si>
  <si>
    <t>Изолятор полимерный ЛК-70/10-Б-4</t>
  </si>
  <si>
    <t xml:space="preserve">Конструкции стальные: порталов ОРУ
</t>
  </si>
  <si>
    <t>Разъединитель РЛНД-1-10-400</t>
  </si>
  <si>
    <t>Серьга СРС-7-16</t>
  </si>
  <si>
    <t>Скоба: СК-7-1А</t>
  </si>
  <si>
    <t>Ушко: однолапчатое У1-7-16</t>
  </si>
  <si>
    <t>Зажим натяжной: болтовый НБ-2-6</t>
  </si>
  <si>
    <t>ФЕР33-04-017-01</t>
  </si>
  <si>
    <t>ФЕРм08-02-472-08</t>
  </si>
  <si>
    <t>ФССЦ-08.3.04.02-0091</t>
  </si>
  <si>
    <t>ФЕРм08-03-575-01</t>
  </si>
  <si>
    <t>ФЕРп01-03-002-06</t>
  </si>
  <si>
    <t>ФЕРм08-02-411-06</t>
  </si>
  <si>
    <t>ФССЦ-20.2.12.03-0002</t>
  </si>
  <si>
    <t>ФСЭМ-91.14.02-004</t>
  </si>
  <si>
    <t>ФССЦ-05.1.02.07-0066</t>
  </si>
  <si>
    <t>ФССЦ-20.1.01.08-0014</t>
  </si>
  <si>
    <t>ФССЦ-25.2.02.09-0011</t>
  </si>
  <si>
    <t>ФССЦ-25.2.02.11-0051</t>
  </si>
  <si>
    <t>ФССЦ-25.2.02.11-0021</t>
  </si>
  <si>
    <t>ФССЦ-20.1.02.07-0006</t>
  </si>
  <si>
    <t>ФССЦ-21.2.01.01-0032</t>
  </si>
  <si>
    <t>ФССЦ-21.2.01.01-0029</t>
  </si>
  <si>
    <t>ФССЦ-62.1.01.09-0240</t>
  </si>
  <si>
    <t>Подвеска самонесущих изолированных проводов (СИП-2А) напряжением от 0,4 кВ до 1 кВ (со снятием напряжения) при количестве 29 опор: с использованием автогидроподъемника</t>
  </si>
  <si>
    <t>Присоединение к зажимам жил проводов или кабелей сечением: до 70 мм2 (РС-481)</t>
  </si>
  <si>
    <t>Проводник заземляющий открыто по строительным основаниям: из круглой стали диаметром 8 мм</t>
  </si>
  <si>
    <t>Сталь круглая углеродистая обыкновенного качества марки ВСт3пс5-1 диаметром: 8 мм</t>
  </si>
  <si>
    <t>Прибор или аппарат (Автоматический выключатель)</t>
  </si>
  <si>
    <t>Выключатель трехполюсный напряжением до 1 кВ с: электромагнитным, тепловым или комбинированным расцепителем, номинальный ток до 600 А</t>
  </si>
  <si>
    <t>Трубы гибкие гофрированные двустенные "DKC" диаметром: 63 мм</t>
  </si>
  <si>
    <t>(10 м)</t>
  </si>
  <si>
    <t xml:space="preserve">Обрезка и прореживание крон деревьев: при диаметре ствола до 250 мм, количеством срезов 15-20
</t>
  </si>
  <si>
    <t>Автомобили бортовые, грузоподъемность: до 15т</t>
  </si>
  <si>
    <t>Стойка опоры: СВ 95-3,5-а /бетон В22,5 (М300), объем 0,36 м3, расход арматуры 39,4 кг/ (серия 3.407.1-143 вып. 7)</t>
  </si>
  <si>
    <t>Зажим ответвительный с прокалыванием изоляции (СИП): P 645</t>
  </si>
  <si>
    <t>Наконечник изолированный алюминиевый с медной клеммой (СИП): CPTAU 70ш</t>
  </si>
  <si>
    <t>Провода самонесущие изолированные для воздушных линий электропередачи с алюминиевыми жилами марки: СИП-2 3х70+1х54,6-0,6/1,0</t>
  </si>
  <si>
    <t>Провода самонесущие изолированные для воздушных линий электропередачи с алюминиевыми жилами марки: СИП-2 3х50+1х54,6-0,6/1,0</t>
  </si>
  <si>
    <r>
      <t>ФЕР33-02-013-05</t>
    </r>
    <r>
      <rPr>
        <i/>
        <sz val="11"/>
        <rFont val="Times New Roman"/>
        <family val="1"/>
        <charset val="204"/>
      </rPr>
      <t xml:space="preserve">
Применительно</t>
    </r>
  </si>
  <si>
    <r>
      <t>ФЕР33-04-003-01</t>
    </r>
    <r>
      <rPr>
        <i/>
        <sz val="11"/>
        <rFont val="Times New Roman"/>
        <family val="1"/>
        <charset val="204"/>
      </rPr>
      <t xml:space="preserve">
Применительно</t>
    </r>
  </si>
  <si>
    <t>Составил: Ведущий инженер ОКСиИ _________________________ Казаков В.В.</t>
  </si>
  <si>
    <t>Договорная цена (с НДС -20%)</t>
  </si>
  <si>
    <t>Расчет стоимости работ на 1 усл. ед. на 2019 год с учетом НДС</t>
  </si>
  <si>
    <t>ЛСР №9</t>
  </si>
  <si>
    <t>Обоснование: Локальный сметный расчет № 1</t>
  </si>
  <si>
    <t>Строительство, демонтаж  ВЛ-6 (10 ) кВ на единицу объема (2019)</t>
  </si>
  <si>
    <t>Договораная цена, руб. (с НДС 20%)</t>
  </si>
  <si>
    <t xml:space="preserve">Заземлитель  из стали: полосовой сечением 160 мм2 </t>
  </si>
  <si>
    <t xml:space="preserve">Заземлитель  из угловой стали размером: 50х50х5 мм </t>
  </si>
  <si>
    <t>Демонтаж: 3-х проводов ВЛ 6-10 кВ</t>
  </si>
  <si>
    <t>Обоснование: Локальный сметный расчет № 2</t>
  </si>
  <si>
    <t>Строительство, демонтаж ВЛ-0,4 кВ на единицу объема (2019)</t>
  </si>
  <si>
    <t>1,015 непредвиденные затраты</t>
  </si>
  <si>
    <t>Обоснование: Локальный сметный расчет № 10</t>
  </si>
  <si>
    <t>Разработка проектно-сметной документации на единицу объема (2019)</t>
  </si>
  <si>
    <t xml:space="preserve">1,06225 (4,9%/4+5%) индекс-дефлятор перевода на 2019 год </t>
  </si>
  <si>
    <t>К=1,06225*1,015=1,07818</t>
  </si>
  <si>
    <t>К=1,06225*1,034965*1,015=1,11588</t>
  </si>
  <si>
    <t>1,034965 (3,7%*1,05*0,9) производство работ в зимнее время</t>
  </si>
  <si>
    <t>Монтаж СТП, МТП, КТПН  единицу объема (2019)</t>
  </si>
  <si>
    <t>Обоснование: Локальный сметный расчет № 3-9</t>
  </si>
  <si>
    <r>
      <t>ФЕР33-02-013-05</t>
    </r>
    <r>
      <rPr>
        <i/>
        <sz val="11"/>
        <rFont val="Arial"/>
        <family val="2"/>
        <charset val="204"/>
      </rPr>
      <t xml:space="preserve">
Применительно</t>
    </r>
  </si>
  <si>
    <r>
      <t>ФЕР33-04-003-01</t>
    </r>
    <r>
      <rPr>
        <i/>
        <sz val="11"/>
        <rFont val="Arial"/>
        <family val="2"/>
        <charset val="204"/>
      </rPr>
      <t xml:space="preserve">
Применительно</t>
    </r>
  </si>
  <si>
    <t xml:space="preserve">            </t>
  </si>
  <si>
    <t>1,06225 (4,9%/4+5%)  - индекс-дефлятор для перевода в прогнозные цены на 4 квартал 2019 года</t>
  </si>
  <si>
    <t>Обоснование: Локальный сметный расчет № 1-4</t>
  </si>
  <si>
    <t xml:space="preserve">Монтаж СТП, МТП, КТПН </t>
  </si>
  <si>
    <t xml:space="preserve">Строительство, демонтаж  ВЛ-6 (10 ) кВ </t>
  </si>
  <si>
    <t xml:space="preserve">Строительство, демонтаж ВЛ-0,4 кВ </t>
  </si>
  <si>
    <t xml:space="preserve">Разработка проектно-сметной документации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</si>
</sst>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#,##0.000"/>
    <numFmt numFmtId="166" formatCode="0.00000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9" fillId="0" borderId="0"/>
    <xf numFmtId="0" fontId="14" fillId="0" borderId="0"/>
    <xf numFmtId="0" fontId="2" fillId="0" borderId="0"/>
    <xf numFmtId="0" fontId="1" fillId="0" borderId="0"/>
  </cellStyleXfs>
  <cellXfs count="30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8" fillId="0" borderId="0" xfId="0" applyFont="1"/>
    <xf numFmtId="0" fontId="15" fillId="0" borderId="0" xfId="3" applyFont="1" applyAlignment="1">
      <alignment horizontal="left" wrapText="1"/>
    </xf>
    <xf numFmtId="0" fontId="16" fillId="0" borderId="0" xfId="3" applyFont="1" applyAlignment="1">
      <alignment horizontal="left" vertical="center"/>
    </xf>
    <xf numFmtId="0" fontId="17" fillId="0" borderId="0" xfId="2" applyFont="1"/>
    <xf numFmtId="3" fontId="17" fillId="0" borderId="0" xfId="2" applyNumberFormat="1" applyFont="1"/>
    <xf numFmtId="0" fontId="16" fillId="0" borderId="0" xfId="2" applyFont="1"/>
    <xf numFmtId="4" fontId="17" fillId="0" borderId="0" xfId="2" applyNumberFormat="1" applyFont="1"/>
    <xf numFmtId="0" fontId="8" fillId="0" borderId="0" xfId="0" applyFont="1" applyBorder="1"/>
    <xf numFmtId="0" fontId="4" fillId="0" borderId="0" xfId="0" applyFont="1" applyBorder="1"/>
    <xf numFmtId="0" fontId="4" fillId="0" borderId="0" xfId="4" applyFont="1"/>
    <xf numFmtId="0" fontId="11" fillId="0" borderId="0" xfId="3" applyFont="1" applyAlignment="1">
      <alignment horizontal="left" vertical="center" wrapText="1"/>
    </xf>
    <xf numFmtId="0" fontId="12" fillId="0" borderId="0" xfId="3" applyFont="1" applyAlignment="1">
      <alignment horizontal="right"/>
    </xf>
    <xf numFmtId="4" fontId="11" fillId="0" borderId="0" xfId="3" applyNumberFormat="1" applyFont="1" applyAlignment="1">
      <alignment horizontal="left" vertical="center" wrapText="1"/>
    </xf>
    <xf numFmtId="0" fontId="4" fillId="0" borderId="0" xfId="4" applyFont="1" applyAlignment="1">
      <alignment horizontal="left"/>
    </xf>
    <xf numFmtId="0" fontId="4" fillId="0" borderId="0" xfId="4" applyFont="1" applyAlignment="1">
      <alignment horizontal="right"/>
    </xf>
    <xf numFmtId="0" fontId="13" fillId="0" borderId="0" xfId="4" applyFont="1" applyAlignment="1"/>
    <xf numFmtId="0" fontId="20" fillId="0" borderId="0" xfId="4" applyFont="1" applyAlignment="1"/>
    <xf numFmtId="0" fontId="21" fillId="0" borderId="0" xfId="4" applyFont="1"/>
    <xf numFmtId="0" fontId="4" fillId="0" borderId="1" xfId="4" applyFont="1" applyBorder="1" applyAlignment="1">
      <alignment horizontal="center" vertical="center" wrapText="1"/>
    </xf>
    <xf numFmtId="0" fontId="4" fillId="0" borderId="0" xfId="4" applyFont="1" applyAlignment="1">
      <alignment horizontal="center" vertical="center" wrapText="1"/>
    </xf>
    <xf numFmtId="0" fontId="4" fillId="0" borderId="1" xfId="4" applyFont="1" applyBorder="1" applyAlignment="1">
      <alignment horizontal="center"/>
    </xf>
    <xf numFmtId="0" fontId="5" fillId="0" borderId="1" xfId="4" applyFont="1" applyBorder="1" applyAlignment="1">
      <alignment horizontal="center" vertical="center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/>
    </xf>
    <xf numFmtId="0" fontId="5" fillId="0" borderId="1" xfId="4" applyFont="1" applyFill="1" applyBorder="1" applyAlignment="1">
      <alignment horizontal="center" vertical="center" wrapText="1"/>
    </xf>
    <xf numFmtId="0" fontId="4" fillId="2" borderId="0" xfId="4" applyFont="1" applyFill="1"/>
    <xf numFmtId="0" fontId="4" fillId="0" borderId="0" xfId="4" applyFont="1" applyFill="1"/>
    <xf numFmtId="0" fontId="7" fillId="0" borderId="6" xfId="4" applyFont="1" applyBorder="1" applyAlignment="1">
      <alignment vertical="center"/>
    </xf>
    <xf numFmtId="0" fontId="7" fillId="0" borderId="0" xfId="4" applyFont="1" applyBorder="1" applyAlignment="1">
      <alignment horizontal="center" vertical="center"/>
    </xf>
    <xf numFmtId="4" fontId="13" fillId="0" borderId="0" xfId="4" applyNumberFormat="1" applyFont="1" applyBorder="1" applyAlignment="1">
      <alignment horizontal="center" vertical="center"/>
    </xf>
    <xf numFmtId="4" fontId="4" fillId="0" borderId="0" xfId="4" applyNumberFormat="1" applyFont="1"/>
    <xf numFmtId="0" fontId="5" fillId="0" borderId="0" xfId="4" applyFont="1" applyAlignment="1">
      <alignment horizontal="center"/>
    </xf>
    <xf numFmtId="0" fontId="5" fillId="0" borderId="0" xfId="4" applyFont="1" applyAlignment="1">
      <alignment horizontal="center" vertical="center"/>
    </xf>
    <xf numFmtId="4" fontId="4" fillId="0" borderId="0" xfId="4" applyNumberFormat="1" applyFont="1" applyAlignment="1">
      <alignment horizontal="center" vertical="center"/>
    </xf>
    <xf numFmtId="0" fontId="22" fillId="0" borderId="0" xfId="4" applyFont="1" applyAlignment="1">
      <alignment horizontal="right" vertical="top"/>
    </xf>
    <xf numFmtId="0" fontId="16" fillId="0" borderId="0" xfId="4" applyFont="1"/>
    <xf numFmtId="0" fontId="4" fillId="0" borderId="0" xfId="4" applyFont="1" applyAlignment="1">
      <alignment horizontal="center"/>
    </xf>
    <xf numFmtId="0" fontId="4" fillId="0" borderId="0" xfId="4" applyFont="1" applyBorder="1"/>
    <xf numFmtId="0" fontId="4" fillId="0" borderId="0" xfId="5" applyFont="1"/>
    <xf numFmtId="0" fontId="4" fillId="0" borderId="0" xfId="5" applyFont="1" applyAlignment="1">
      <alignment horizontal="right"/>
    </xf>
    <xf numFmtId="0" fontId="4" fillId="0" borderId="0" xfId="5" applyFont="1" applyAlignment="1">
      <alignment horizontal="center" vertical="center" wrapText="1"/>
    </xf>
    <xf numFmtId="4" fontId="13" fillId="0" borderId="1" xfId="5" applyNumberFormat="1" applyFont="1" applyBorder="1" applyAlignment="1">
      <alignment horizontal="center" vertical="center"/>
    </xf>
    <xf numFmtId="0" fontId="5" fillId="0" borderId="0" xfId="5" applyFont="1" applyAlignment="1">
      <alignment horizontal="center"/>
    </xf>
    <xf numFmtId="0" fontId="5" fillId="0" borderId="0" xfId="5" applyFont="1"/>
    <xf numFmtId="0" fontId="5" fillId="0" borderId="0" xfId="5" applyFont="1" applyAlignment="1">
      <alignment horizontal="center" vertical="center"/>
    </xf>
    <xf numFmtId="4" fontId="5" fillId="0" borderId="0" xfId="5" applyNumberFormat="1" applyFont="1" applyAlignment="1">
      <alignment horizontal="center" vertical="center"/>
    </xf>
    <xf numFmtId="4" fontId="4" fillId="0" borderId="0" xfId="5" applyNumberFormat="1" applyFont="1" applyAlignment="1">
      <alignment horizontal="center" vertical="center"/>
    </xf>
    <xf numFmtId="4" fontId="4" fillId="0" borderId="0" xfId="5" applyNumberFormat="1" applyFont="1"/>
    <xf numFmtId="0" fontId="4" fillId="0" borderId="0" xfId="5" applyFont="1" applyAlignment="1">
      <alignment horizontal="center"/>
    </xf>
    <xf numFmtId="0" fontId="10" fillId="3" borderId="1" xfId="4" applyFont="1" applyFill="1" applyBorder="1" applyAlignment="1">
      <alignment horizontal="center" vertical="center"/>
    </xf>
    <xf numFmtId="0" fontId="25" fillId="3" borderId="0" xfId="4" applyFont="1" applyFill="1"/>
    <xf numFmtId="0" fontId="5" fillId="0" borderId="0" xfId="4" applyFont="1" applyAlignment="1">
      <alignment horizontal="left"/>
    </xf>
    <xf numFmtId="0" fontId="4" fillId="3" borderId="0" xfId="4" applyFont="1" applyFill="1"/>
    <xf numFmtId="0" fontId="4" fillId="0" borderId="1" xfId="4" applyFont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/>
    </xf>
    <xf numFmtId="0" fontId="4" fillId="3" borderId="1" xfId="4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/>
    </xf>
    <xf numFmtId="4" fontId="5" fillId="3" borderId="0" xfId="4" applyNumberFormat="1" applyFont="1" applyFill="1" applyAlignment="1">
      <alignment horizontal="center" vertical="center"/>
    </xf>
    <xf numFmtId="0" fontId="4" fillId="3" borderId="0" xfId="4" applyFont="1" applyFill="1" applyAlignment="1">
      <alignment horizontal="center"/>
    </xf>
    <xf numFmtId="0" fontId="4" fillId="0" borderId="1" xfId="4" applyFont="1" applyFill="1" applyBorder="1" applyAlignment="1">
      <alignment horizontal="center" vertical="center" wrapText="1"/>
    </xf>
    <xf numFmtId="0" fontId="4" fillId="0" borderId="1" xfId="4" applyFont="1" applyFill="1" applyBorder="1" applyAlignment="1">
      <alignment horizontal="center"/>
    </xf>
    <xf numFmtId="0" fontId="4" fillId="0" borderId="0" xfId="4" applyFont="1" applyFill="1" applyAlignment="1">
      <alignment horizontal="center"/>
    </xf>
    <xf numFmtId="0" fontId="13" fillId="0" borderId="1" xfId="4" applyFont="1" applyBorder="1" applyAlignment="1">
      <alignment horizontal="center" vertical="center"/>
    </xf>
    <xf numFmtId="0" fontId="13" fillId="3" borderId="1" xfId="4" applyFont="1" applyFill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/>
    </xf>
    <xf numFmtId="4" fontId="4" fillId="3" borderId="1" xfId="4" applyNumberFormat="1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/>
    </xf>
    <xf numFmtId="164" fontId="4" fillId="0" borderId="1" xfId="4" applyNumberFormat="1" applyFont="1" applyBorder="1" applyAlignment="1">
      <alignment horizontal="center" vertical="center"/>
    </xf>
    <xf numFmtId="0" fontId="25" fillId="0" borderId="1" xfId="2" applyFont="1" applyBorder="1" applyAlignment="1">
      <alignment horizontal="center" vertical="center" wrapText="1"/>
    </xf>
    <xf numFmtId="4" fontId="25" fillId="3" borderId="1" xfId="4" applyNumberFormat="1" applyFont="1" applyFill="1" applyBorder="1" applyAlignment="1">
      <alignment horizontal="center" vertical="center"/>
    </xf>
    <xf numFmtId="0" fontId="25" fillId="3" borderId="1" xfId="4" applyFont="1" applyFill="1" applyBorder="1" applyAlignment="1">
      <alignment horizontal="center" vertical="center" wrapText="1"/>
    </xf>
    <xf numFmtId="4" fontId="4" fillId="3" borderId="1" xfId="4" applyNumberFormat="1" applyFont="1" applyFill="1" applyBorder="1" applyAlignment="1">
      <alignment horizontal="center" vertical="center" wrapText="1"/>
    </xf>
    <xf numFmtId="49" fontId="25" fillId="0" borderId="1" xfId="2" applyNumberFormat="1" applyFont="1" applyBorder="1" applyAlignment="1">
      <alignment horizontal="left" vertical="top" wrapText="1"/>
    </xf>
    <xf numFmtId="0" fontId="13" fillId="0" borderId="16" xfId="4" applyFont="1" applyBorder="1" applyAlignment="1">
      <alignment horizontal="left" vertical="center"/>
    </xf>
    <xf numFmtId="0" fontId="13" fillId="0" borderId="16" xfId="4" applyFont="1" applyBorder="1" applyAlignment="1">
      <alignment vertical="center"/>
    </xf>
    <xf numFmtId="0" fontId="13" fillId="3" borderId="16" xfId="4" applyFont="1" applyFill="1" applyBorder="1" applyAlignment="1">
      <alignment vertical="center"/>
    </xf>
    <xf numFmtId="4" fontId="13" fillId="0" borderId="16" xfId="4" applyNumberFormat="1" applyFont="1" applyBorder="1" applyAlignment="1">
      <alignment vertical="center"/>
    </xf>
    <xf numFmtId="0" fontId="13" fillId="0" borderId="0" xfId="4" applyFont="1" applyBorder="1" applyAlignment="1">
      <alignment horizontal="center" vertical="center"/>
    </xf>
    <xf numFmtId="0" fontId="13" fillId="3" borderId="0" xfId="4" applyFont="1" applyFill="1" applyBorder="1" applyAlignment="1">
      <alignment horizontal="center" vertical="center"/>
    </xf>
    <xf numFmtId="0" fontId="4" fillId="0" borderId="1" xfId="4" applyFont="1" applyBorder="1" applyAlignment="1">
      <alignment horizontal="left" vertical="top"/>
    </xf>
    <xf numFmtId="0" fontId="4" fillId="3" borderId="1" xfId="4" applyFont="1" applyFill="1" applyBorder="1" applyAlignment="1">
      <alignment horizontal="left" vertical="top"/>
    </xf>
    <xf numFmtId="0" fontId="25" fillId="3" borderId="1" xfId="4" applyFont="1" applyFill="1" applyBorder="1" applyAlignment="1">
      <alignment horizontal="left" vertical="top"/>
    </xf>
    <xf numFmtId="3" fontId="4" fillId="2" borderId="0" xfId="4" applyNumberFormat="1" applyFont="1" applyFill="1"/>
    <xf numFmtId="49" fontId="25" fillId="0" borderId="1" xfId="2" applyNumberFormat="1" applyFont="1" applyFill="1" applyBorder="1" applyAlignment="1">
      <alignment horizontal="left" vertical="top" wrapText="1"/>
    </xf>
    <xf numFmtId="0" fontId="4" fillId="0" borderId="1" xfId="4" applyFont="1" applyFill="1" applyBorder="1" applyAlignment="1">
      <alignment horizontal="center" vertical="center"/>
    </xf>
    <xf numFmtId="0" fontId="25" fillId="0" borderId="1" xfId="2" applyFont="1" applyFill="1" applyBorder="1" applyAlignment="1">
      <alignment horizontal="center" vertical="center" wrapText="1"/>
    </xf>
    <xf numFmtId="4" fontId="4" fillId="0" borderId="1" xfId="4" applyNumberFormat="1" applyFont="1" applyFill="1" applyBorder="1" applyAlignment="1">
      <alignment horizontal="center" vertical="center" wrapText="1"/>
    </xf>
    <xf numFmtId="166" fontId="4" fillId="0" borderId="0" xfId="4" applyNumberFormat="1" applyFont="1"/>
    <xf numFmtId="4" fontId="4" fillId="3" borderId="1" xfId="2" applyNumberFormat="1" applyFont="1" applyFill="1" applyBorder="1" applyAlignment="1">
      <alignment horizontal="center" vertical="center" wrapText="1"/>
    </xf>
    <xf numFmtId="4" fontId="13" fillId="0" borderId="17" xfId="4" applyNumberFormat="1" applyFont="1" applyBorder="1" applyAlignment="1">
      <alignment vertical="center"/>
    </xf>
    <xf numFmtId="4" fontId="13" fillId="0" borderId="1" xfId="4" applyNumberFormat="1" applyFont="1" applyBorder="1" applyAlignment="1">
      <alignment horizontal="center" vertical="center"/>
    </xf>
    <xf numFmtId="4" fontId="18" fillId="0" borderId="1" xfId="2" applyNumberFormat="1" applyFont="1" applyBorder="1" applyAlignment="1">
      <alignment horizontal="center" vertical="center"/>
    </xf>
    <xf numFmtId="0" fontId="4" fillId="0" borderId="10" xfId="4" applyFont="1" applyBorder="1" applyAlignment="1">
      <alignment horizontal="left"/>
    </xf>
    <xf numFmtId="0" fontId="4" fillId="0" borderId="1" xfId="4" applyFont="1" applyBorder="1" applyAlignment="1">
      <alignment horizontal="left"/>
    </xf>
    <xf numFmtId="0" fontId="4" fillId="0" borderId="6" xfId="4" applyFont="1" applyBorder="1" applyAlignment="1">
      <alignment horizontal="left"/>
    </xf>
    <xf numFmtId="0" fontId="4" fillId="0" borderId="0" xfId="4" applyFont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0" borderId="0" xfId="5" applyFont="1" applyAlignment="1">
      <alignment horizontal="center"/>
    </xf>
    <xf numFmtId="0" fontId="4" fillId="0" borderId="0" xfId="5" applyFont="1" applyBorder="1" applyAlignment="1">
      <alignment horizontal="left"/>
    </xf>
    <xf numFmtId="0" fontId="4" fillId="0" borderId="1" xfId="5" applyFont="1" applyBorder="1" applyAlignment="1">
      <alignment horizontal="center"/>
    </xf>
    <xf numFmtId="0" fontId="25" fillId="0" borderId="6" xfId="2" applyFont="1" applyBorder="1" applyAlignment="1">
      <alignment vertical="top" wrapText="1"/>
    </xf>
    <xf numFmtId="164" fontId="25" fillId="0" borderId="1" xfId="4" applyNumberFormat="1" applyFont="1" applyBorder="1" applyAlignment="1">
      <alignment horizontal="center" vertical="center"/>
    </xf>
    <xf numFmtId="164" fontId="8" fillId="0" borderId="1" xfId="4" applyNumberFormat="1" applyFont="1" applyBorder="1" applyAlignment="1">
      <alignment horizontal="center" vertical="center"/>
    </xf>
    <xf numFmtId="0" fontId="19" fillId="0" borderId="0" xfId="2" applyFont="1" applyBorder="1" applyAlignment="1">
      <alignment vertical="top"/>
    </xf>
    <xf numFmtId="0" fontId="4" fillId="0" borderId="0" xfId="4" applyFont="1" applyAlignment="1"/>
    <xf numFmtId="0" fontId="25" fillId="0" borderId="0" xfId="3" applyFont="1" applyAlignment="1">
      <alignment horizontal="left" vertical="center" wrapText="1"/>
    </xf>
    <xf numFmtId="0" fontId="25" fillId="0" borderId="0" xfId="2" applyFont="1" applyBorder="1" applyAlignment="1">
      <alignment vertical="top"/>
    </xf>
    <xf numFmtId="0" fontId="18" fillId="0" borderId="0" xfId="2" applyFont="1" applyBorder="1" applyAlignment="1">
      <alignment horizontal="right" vertical="top"/>
    </xf>
    <xf numFmtId="4" fontId="25" fillId="0" borderId="0" xfId="3" applyNumberFormat="1" applyFont="1" applyAlignment="1">
      <alignment horizontal="left" vertical="center" wrapText="1"/>
    </xf>
    <xf numFmtId="0" fontId="25" fillId="0" borderId="0" xfId="2" applyFont="1" applyBorder="1" applyAlignment="1"/>
    <xf numFmtId="0" fontId="25" fillId="0" borderId="0" xfId="3" applyFont="1" applyAlignment="1">
      <alignment horizontal="center"/>
    </xf>
    <xf numFmtId="0" fontId="25" fillId="0" borderId="1" xfId="3" applyFont="1" applyBorder="1" applyAlignment="1">
      <alignment horizontal="center" vertical="center" wrapText="1"/>
    </xf>
    <xf numFmtId="0" fontId="25" fillId="0" borderId="1" xfId="3" applyFont="1" applyFill="1" applyBorder="1" applyAlignment="1">
      <alignment horizontal="left" vertical="center" wrapText="1"/>
    </xf>
    <xf numFmtId="0" fontId="25" fillId="0" borderId="1" xfId="3" applyFont="1" applyBorder="1" applyAlignment="1">
      <alignment horizontal="left" vertical="center" wrapText="1"/>
    </xf>
    <xf numFmtId="0" fontId="25" fillId="0" borderId="1" xfId="3" applyFont="1" applyFill="1" applyBorder="1" applyAlignment="1">
      <alignment horizontal="center" vertical="center" wrapText="1"/>
    </xf>
    <xf numFmtId="4" fontId="25" fillId="0" borderId="1" xfId="3" applyNumberFormat="1" applyFont="1" applyFill="1" applyBorder="1" applyAlignment="1">
      <alignment horizontal="center" vertical="center" wrapText="1"/>
    </xf>
    <xf numFmtId="4" fontId="25" fillId="0" borderId="1" xfId="3" applyNumberFormat="1" applyFont="1" applyBorder="1" applyAlignment="1">
      <alignment horizontal="center" vertical="center" wrapText="1"/>
    </xf>
    <xf numFmtId="0" fontId="25" fillId="0" borderId="0" xfId="3" applyFont="1" applyFill="1"/>
    <xf numFmtId="0" fontId="25" fillId="0" borderId="0" xfId="3" applyFont="1" applyBorder="1" applyAlignment="1">
      <alignment horizontal="center" vertical="center" wrapText="1"/>
    </xf>
    <xf numFmtId="0" fontId="25" fillId="0" borderId="0" xfId="3" applyFont="1" applyFill="1" applyBorder="1" applyAlignment="1">
      <alignment horizontal="left" vertical="center" wrapText="1"/>
    </xf>
    <xf numFmtId="0" fontId="25" fillId="0" borderId="0" xfId="3" applyFont="1" applyFill="1" applyBorder="1" applyAlignment="1">
      <alignment horizontal="center" vertical="center" wrapText="1"/>
    </xf>
    <xf numFmtId="4" fontId="25" fillId="0" borderId="0" xfId="3" applyNumberFormat="1" applyFont="1" applyFill="1" applyBorder="1" applyAlignment="1">
      <alignment horizontal="center" vertical="center" wrapText="1"/>
    </xf>
    <xf numFmtId="0" fontId="25" fillId="0" borderId="0" xfId="3" applyFont="1" applyAlignment="1">
      <alignment horizontal="left" vertical="center"/>
    </xf>
    <xf numFmtId="49" fontId="27" fillId="0" borderId="1" xfId="2" applyNumberFormat="1" applyFont="1" applyBorder="1" applyAlignment="1">
      <alignment horizontal="left" vertical="top" wrapText="1"/>
    </xf>
    <xf numFmtId="0" fontId="27" fillId="0" borderId="1" xfId="2" applyFont="1" applyBorder="1" applyAlignment="1">
      <alignment horizontal="center" vertical="center"/>
    </xf>
    <xf numFmtId="4" fontId="4" fillId="0" borderId="1" xfId="4" applyNumberFormat="1" applyFont="1" applyFill="1" applyBorder="1" applyAlignment="1">
      <alignment horizontal="center" vertical="center"/>
    </xf>
    <xf numFmtId="0" fontId="27" fillId="0" borderId="1" xfId="2" applyFont="1" applyBorder="1" applyAlignment="1">
      <alignment horizontal="center" vertical="center" wrapText="1"/>
    </xf>
    <xf numFmtId="2" fontId="4" fillId="0" borderId="1" xfId="4" applyNumberFormat="1" applyFont="1" applyFill="1" applyBorder="1" applyAlignment="1">
      <alignment horizontal="center" vertical="center"/>
    </xf>
    <xf numFmtId="2" fontId="4" fillId="0" borderId="1" xfId="4" applyNumberFormat="1" applyFont="1" applyBorder="1" applyAlignment="1">
      <alignment horizontal="center" vertical="center"/>
    </xf>
    <xf numFmtId="49" fontId="27" fillId="0" borderId="1" xfId="2" applyNumberFormat="1" applyFont="1" applyFill="1" applyBorder="1" applyAlignment="1">
      <alignment horizontal="left" vertical="top" wrapText="1"/>
    </xf>
    <xf numFmtId="0" fontId="27" fillId="0" borderId="1" xfId="2" applyFont="1" applyFill="1" applyBorder="1" applyAlignment="1">
      <alignment horizontal="center" vertical="center"/>
    </xf>
    <xf numFmtId="4" fontId="4" fillId="0" borderId="1" xfId="4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4" fillId="0" borderId="1" xfId="4" applyNumberFormat="1" applyFont="1" applyBorder="1" applyAlignment="1">
      <alignment horizontal="center" vertical="center"/>
    </xf>
    <xf numFmtId="0" fontId="29" fillId="0" borderId="1" xfId="2" applyFont="1" applyBorder="1" applyAlignment="1">
      <alignment horizontal="center" vertical="center"/>
    </xf>
    <xf numFmtId="0" fontId="13" fillId="0" borderId="0" xfId="4" applyFont="1" applyFill="1" applyBorder="1" applyAlignment="1">
      <alignment horizontal="center" vertical="center"/>
    </xf>
    <xf numFmtId="0" fontId="13" fillId="0" borderId="1" xfId="4" applyFont="1" applyFill="1" applyBorder="1" applyAlignment="1">
      <alignment horizontal="center" vertical="center"/>
    </xf>
    <xf numFmtId="0" fontId="4" fillId="0" borderId="0" xfId="4" applyFont="1" applyAlignment="1">
      <alignment horizontal="center" vertical="center"/>
    </xf>
    <xf numFmtId="4" fontId="4" fillId="0" borderId="0" xfId="4" applyNumberFormat="1" applyFont="1" applyFill="1" applyAlignment="1">
      <alignment horizontal="center" vertical="center"/>
    </xf>
    <xf numFmtId="0" fontId="25" fillId="0" borderId="0" xfId="4" applyFont="1"/>
    <xf numFmtId="0" fontId="26" fillId="0" borderId="0" xfId="4" applyFont="1" applyAlignment="1">
      <alignment horizontal="center" vertical="top" wrapText="1"/>
    </xf>
    <xf numFmtId="0" fontId="4" fillId="0" borderId="1" xfId="5" applyFont="1" applyBorder="1" applyAlignment="1">
      <alignment horizontal="center" vertical="center"/>
    </xf>
    <xf numFmtId="4" fontId="4" fillId="0" borderId="1" xfId="5" applyNumberFormat="1" applyFont="1" applyBorder="1" applyAlignment="1">
      <alignment horizontal="center" vertical="center"/>
    </xf>
    <xf numFmtId="165" fontId="4" fillId="0" borderId="1" xfId="5" applyNumberFormat="1" applyFont="1" applyBorder="1" applyAlignment="1">
      <alignment horizontal="center" vertical="center"/>
    </xf>
    <xf numFmtId="0" fontId="4" fillId="0" borderId="0" xfId="5" applyFont="1" applyAlignment="1">
      <alignment horizontal="center" vertical="center"/>
    </xf>
    <xf numFmtId="0" fontId="25" fillId="0" borderId="0" xfId="5" applyFont="1" applyAlignment="1">
      <alignment horizontal="right" vertical="top"/>
    </xf>
    <xf numFmtId="0" fontId="25" fillId="0" borderId="0" xfId="5" applyFont="1"/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" fontId="25" fillId="0" borderId="1" xfId="0" applyNumberFormat="1" applyFont="1" applyBorder="1" applyAlignment="1">
      <alignment horizontal="center" vertical="top" wrapText="1"/>
    </xf>
    <xf numFmtId="4" fontId="25" fillId="0" borderId="1" xfId="0" applyNumberFormat="1" applyFont="1" applyBorder="1" applyAlignment="1">
      <alignment horizontal="center" vertical="top"/>
    </xf>
    <xf numFmtId="49" fontId="25" fillId="0" borderId="6" xfId="2" applyNumberFormat="1" applyFont="1" applyBorder="1" applyAlignment="1">
      <alignment vertical="top" wrapText="1"/>
    </xf>
    <xf numFmtId="0" fontId="25" fillId="0" borderId="6" xfId="1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6" xfId="1" applyFont="1" applyBorder="1" applyAlignment="1">
      <alignment vertical="top" wrapText="1"/>
    </xf>
    <xf numFmtId="0" fontId="25" fillId="0" borderId="6" xfId="1" applyFont="1" applyBorder="1" applyAlignment="1">
      <alignment vertical="top"/>
    </xf>
    <xf numFmtId="0" fontId="25" fillId="3" borderId="1" xfId="0" applyFont="1" applyFill="1" applyBorder="1" applyAlignment="1">
      <alignment horizontal="center" vertical="top" wrapText="1"/>
    </xf>
    <xf numFmtId="4" fontId="25" fillId="3" borderId="1" xfId="0" applyNumberFormat="1" applyFont="1" applyFill="1" applyBorder="1" applyAlignment="1">
      <alignment horizontal="center" vertical="top" wrapText="1"/>
    </xf>
    <xf numFmtId="4" fontId="25" fillId="3" borderId="1" xfId="0" applyNumberFormat="1" applyFont="1" applyFill="1" applyBorder="1" applyAlignment="1">
      <alignment horizontal="center" vertical="top"/>
    </xf>
    <xf numFmtId="0" fontId="25" fillId="0" borderId="1" xfId="0" applyFont="1" applyFill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/>
    </xf>
    <xf numFmtId="0" fontId="25" fillId="0" borderId="0" xfId="0" applyFont="1" applyFill="1" applyBorder="1" applyAlignment="1">
      <alignment horizontal="left" vertical="top" wrapText="1"/>
    </xf>
    <xf numFmtId="0" fontId="25" fillId="0" borderId="0" xfId="0" applyFont="1" applyFill="1" applyBorder="1" applyAlignment="1">
      <alignment horizontal="center" vertical="top" wrapText="1"/>
    </xf>
    <xf numFmtId="4" fontId="25" fillId="0" borderId="0" xfId="0" applyNumberFormat="1" applyFont="1" applyBorder="1" applyAlignment="1">
      <alignment horizontal="center" vertical="top" wrapText="1"/>
    </xf>
    <xf numFmtId="4" fontId="25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26" fillId="0" borderId="0" xfId="1" applyFont="1" applyAlignment="1">
      <alignment horizontal="center" vertical="top" wrapText="1"/>
    </xf>
    <xf numFmtId="0" fontId="4" fillId="0" borderId="20" xfId="4" applyFont="1" applyBorder="1"/>
    <xf numFmtId="0" fontId="4" fillId="0" borderId="20" xfId="4" applyFont="1" applyFill="1" applyBorder="1"/>
    <xf numFmtId="0" fontId="4" fillId="0" borderId="21" xfId="4" applyFont="1" applyBorder="1"/>
    <xf numFmtId="4" fontId="18" fillId="0" borderId="1" xfId="3" applyNumberFormat="1" applyFont="1" applyFill="1" applyBorder="1" applyAlignment="1">
      <alignment horizontal="center" vertical="center" wrapText="1"/>
    </xf>
    <xf numFmtId="0" fontId="4" fillId="0" borderId="0" xfId="4" applyFont="1" applyAlignment="1">
      <alignment horizontal="center"/>
    </xf>
    <xf numFmtId="0" fontId="4" fillId="0" borderId="0" xfId="4" applyFont="1" applyAlignment="1">
      <alignment horizontal="left"/>
    </xf>
    <xf numFmtId="0" fontId="25" fillId="0" borderId="6" xfId="2" applyFont="1" applyBorder="1" applyAlignment="1">
      <alignment vertical="top"/>
    </xf>
    <xf numFmtId="0" fontId="4" fillId="0" borderId="0" xfId="0" applyFont="1" applyAlignment="1">
      <alignment horizontal="center"/>
    </xf>
    <xf numFmtId="0" fontId="4" fillId="0" borderId="0" xfId="4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2" fontId="0" fillId="0" borderId="1" xfId="0" applyNumberFormat="1" applyBorder="1" applyAlignment="1">
      <alignment horizontal="center" vertical="center"/>
    </xf>
    <xf numFmtId="0" fontId="18" fillId="0" borderId="17" xfId="3" applyFont="1" applyFill="1" applyBorder="1" applyAlignment="1">
      <alignment horizontal="center" vertical="center" wrapText="1"/>
    </xf>
    <xf numFmtId="4" fontId="25" fillId="0" borderId="6" xfId="2" applyNumberFormat="1" applyFont="1" applyBorder="1" applyAlignment="1">
      <alignment horizontal="center" vertical="top" wrapText="1"/>
    </xf>
    <xf numFmtId="0" fontId="25" fillId="0" borderId="16" xfId="2" applyFont="1" applyBorder="1" applyAlignment="1">
      <alignment horizontal="center" vertical="top" wrapText="1"/>
    </xf>
    <xf numFmtId="0" fontId="25" fillId="0" borderId="17" xfId="2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5" fillId="0" borderId="2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0" xfId="1" applyFont="1" applyAlignment="1">
      <alignment horizontal="center" vertical="top" wrapText="1"/>
    </xf>
    <xf numFmtId="0" fontId="26" fillId="0" borderId="0" xfId="1" applyFont="1" applyAlignment="1">
      <alignment horizontal="center" vertical="top" wrapText="1"/>
    </xf>
    <xf numFmtId="0" fontId="11" fillId="0" borderId="0" xfId="2" applyFont="1" applyBorder="1" applyAlignment="1">
      <alignment horizontal="center" vertical="top"/>
    </xf>
    <xf numFmtId="0" fontId="12" fillId="0" borderId="0" xfId="4" applyFont="1" applyAlignment="1">
      <alignment horizontal="center"/>
    </xf>
    <xf numFmtId="0" fontId="25" fillId="0" borderId="0" xfId="3" applyFont="1" applyAlignment="1">
      <alignment horizontal="center" vertical="center" wrapText="1"/>
    </xf>
    <xf numFmtId="0" fontId="25" fillId="0" borderId="0" xfId="3" applyFont="1" applyAlignment="1">
      <alignment horizontal="center" vertical="center"/>
    </xf>
    <xf numFmtId="4" fontId="18" fillId="0" borderId="1" xfId="3" applyNumberFormat="1" applyFont="1" applyFill="1" applyBorder="1" applyAlignment="1">
      <alignment horizontal="center" vertical="center" wrapText="1"/>
    </xf>
    <xf numFmtId="0" fontId="18" fillId="0" borderId="0" xfId="2" applyFont="1" applyBorder="1" applyAlignment="1">
      <alignment horizontal="left" vertical="top"/>
    </xf>
    <xf numFmtId="0" fontId="25" fillId="0" borderId="0" xfId="2" applyFont="1" applyBorder="1" applyAlignment="1">
      <alignment horizontal="left" vertical="top"/>
    </xf>
    <xf numFmtId="0" fontId="25" fillId="0" borderId="0" xfId="2" applyFont="1" applyBorder="1" applyAlignment="1">
      <alignment horizontal="left"/>
    </xf>
    <xf numFmtId="0" fontId="18" fillId="0" borderId="1" xfId="3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left"/>
    </xf>
    <xf numFmtId="0" fontId="4" fillId="0" borderId="1" xfId="4" applyFont="1" applyBorder="1" applyAlignment="1">
      <alignment horizontal="left"/>
    </xf>
    <xf numFmtId="0" fontId="4" fillId="0" borderId="6" xfId="4" applyFont="1" applyBorder="1" applyAlignment="1">
      <alignment horizontal="left"/>
    </xf>
    <xf numFmtId="0" fontId="4" fillId="0" borderId="19" xfId="4" applyFont="1" applyBorder="1" applyAlignment="1">
      <alignment horizontal="left"/>
    </xf>
    <xf numFmtId="0" fontId="4" fillId="0" borderId="16" xfId="4" applyFont="1" applyBorder="1" applyAlignment="1">
      <alignment horizontal="left"/>
    </xf>
    <xf numFmtId="0" fontId="4" fillId="0" borderId="17" xfId="4" applyFont="1" applyBorder="1" applyAlignment="1">
      <alignment horizontal="left"/>
    </xf>
    <xf numFmtId="0" fontId="4" fillId="0" borderId="12" xfId="4" applyFont="1" applyBorder="1" applyAlignment="1">
      <alignment horizontal="left"/>
    </xf>
    <xf numFmtId="0" fontId="4" fillId="0" borderId="13" xfId="4" applyFont="1" applyBorder="1" applyAlignment="1">
      <alignment horizontal="left"/>
    </xf>
    <xf numFmtId="0" fontId="4" fillId="0" borderId="14" xfId="4" applyFont="1" applyBorder="1" applyAlignment="1">
      <alignment horizontal="left"/>
    </xf>
    <xf numFmtId="0" fontId="4" fillId="0" borderId="15" xfId="4" applyFont="1" applyBorder="1" applyAlignment="1">
      <alignment horizontal="left"/>
    </xf>
    <xf numFmtId="0" fontId="13" fillId="0" borderId="0" xfId="4" applyFont="1" applyAlignment="1">
      <alignment horizontal="center"/>
    </xf>
    <xf numFmtId="0" fontId="4" fillId="0" borderId="0" xfId="4" applyFont="1" applyAlignment="1">
      <alignment horizontal="center"/>
    </xf>
    <xf numFmtId="0" fontId="13" fillId="0" borderId="7" xfId="4" applyFont="1" applyBorder="1" applyAlignment="1">
      <alignment horizontal="center"/>
    </xf>
    <xf numFmtId="0" fontId="13" fillId="0" borderId="8" xfId="4" applyFont="1" applyBorder="1" applyAlignment="1">
      <alignment horizontal="center"/>
    </xf>
    <xf numFmtId="0" fontId="4" fillId="0" borderId="10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0" fontId="4" fillId="0" borderId="1" xfId="4" applyFont="1" applyBorder="1" applyAlignment="1">
      <alignment horizontal="left" wrapText="1"/>
    </xf>
    <xf numFmtId="0" fontId="4" fillId="0" borderId="1" xfId="4" applyFont="1" applyBorder="1" applyAlignment="1">
      <alignment horizontal="center" vertical="center" wrapText="1"/>
    </xf>
    <xf numFmtId="0" fontId="4" fillId="3" borderId="1" xfId="4" applyFont="1" applyFill="1" applyBorder="1" applyAlignment="1">
      <alignment horizontal="left" wrapText="1"/>
    </xf>
    <xf numFmtId="0" fontId="25" fillId="3" borderId="1" xfId="4" applyFont="1" applyFill="1" applyBorder="1" applyAlignment="1">
      <alignment horizontal="left" wrapText="1"/>
    </xf>
    <xf numFmtId="0" fontId="25" fillId="0" borderId="6" xfId="2" applyFont="1" applyBorder="1" applyAlignment="1">
      <alignment horizontal="left" vertical="top" wrapText="1"/>
    </xf>
    <xf numFmtId="0" fontId="25" fillId="0" borderId="16" xfId="2" applyFont="1" applyBorder="1" applyAlignment="1">
      <alignment horizontal="left" vertical="top" wrapText="1"/>
    </xf>
    <xf numFmtId="0" fontId="25" fillId="0" borderId="17" xfId="2" applyFont="1" applyBorder="1" applyAlignment="1">
      <alignment horizontal="left" vertical="top" wrapText="1"/>
    </xf>
    <xf numFmtId="0" fontId="25" fillId="0" borderId="1" xfId="2" applyFont="1" applyFill="1" applyBorder="1" applyAlignment="1">
      <alignment horizontal="left" vertical="top" wrapText="1"/>
    </xf>
    <xf numFmtId="0" fontId="25" fillId="0" borderId="1" xfId="2" applyFont="1" applyBorder="1" applyAlignment="1">
      <alignment horizontal="left" vertical="top" wrapText="1"/>
    </xf>
    <xf numFmtId="0" fontId="25" fillId="0" borderId="6" xfId="4" applyFont="1" applyBorder="1" applyAlignment="1">
      <alignment vertical="center"/>
    </xf>
    <xf numFmtId="0" fontId="25" fillId="0" borderId="16" xfId="4" applyFont="1" applyBorder="1" applyAlignment="1">
      <alignment vertical="center"/>
    </xf>
    <xf numFmtId="0" fontId="25" fillId="0" borderId="17" xfId="4" applyFont="1" applyBorder="1" applyAlignment="1">
      <alignment vertical="center"/>
    </xf>
    <xf numFmtId="0" fontId="25" fillId="0" borderId="6" xfId="2" applyFont="1" applyBorder="1" applyAlignment="1">
      <alignment vertical="top" wrapText="1"/>
    </xf>
    <xf numFmtId="0" fontId="25" fillId="0" borderId="16" xfId="2" applyFont="1" applyBorder="1" applyAlignment="1">
      <alignment vertical="top" wrapText="1"/>
    </xf>
    <xf numFmtId="0" fontId="25" fillId="0" borderId="17" xfId="2" applyFont="1" applyBorder="1" applyAlignment="1">
      <alignment vertical="top" wrapText="1"/>
    </xf>
    <xf numFmtId="0" fontId="18" fillId="0" borderId="18" xfId="2" applyFont="1" applyBorder="1" applyAlignment="1">
      <alignment horizontal="center" vertical="center" wrapText="1"/>
    </xf>
    <xf numFmtId="0" fontId="25" fillId="0" borderId="6" xfId="2" applyFont="1" applyBorder="1" applyAlignment="1">
      <alignment vertical="center" wrapText="1"/>
    </xf>
    <xf numFmtId="0" fontId="25" fillId="0" borderId="16" xfId="2" applyFont="1" applyBorder="1" applyAlignment="1">
      <alignment vertical="center" wrapText="1"/>
    </xf>
    <xf numFmtId="0" fontId="25" fillId="0" borderId="17" xfId="2" applyFont="1" applyBorder="1" applyAlignment="1">
      <alignment vertical="center" wrapText="1"/>
    </xf>
    <xf numFmtId="0" fontId="8" fillId="0" borderId="0" xfId="2" applyFont="1" applyAlignment="1">
      <alignment horizontal="left" wrapText="1"/>
    </xf>
    <xf numFmtId="49" fontId="25" fillId="0" borderId="6" xfId="2" applyNumberFormat="1" applyFont="1" applyBorder="1" applyAlignment="1">
      <alignment vertical="center" wrapText="1"/>
    </xf>
    <xf numFmtId="49" fontId="25" fillId="0" borderId="16" xfId="2" applyNumberFormat="1" applyFont="1" applyBorder="1" applyAlignment="1">
      <alignment vertical="center" wrapText="1"/>
    </xf>
    <xf numFmtId="49" fontId="25" fillId="0" borderId="17" xfId="2" applyNumberFormat="1" applyFont="1" applyBorder="1" applyAlignment="1">
      <alignment vertical="center" wrapText="1"/>
    </xf>
    <xf numFmtId="0" fontId="17" fillId="0" borderId="0" xfId="2" applyFont="1" applyAlignment="1">
      <alignment horizontal="center" vertical="center"/>
    </xf>
    <xf numFmtId="0" fontId="4" fillId="0" borderId="6" xfId="4" applyFont="1" applyBorder="1" applyAlignment="1">
      <alignment horizontal="left" vertical="center"/>
    </xf>
    <xf numFmtId="0" fontId="4" fillId="0" borderId="16" xfId="4" applyFont="1" applyBorder="1" applyAlignment="1">
      <alignment horizontal="left" vertical="center"/>
    </xf>
    <xf numFmtId="0" fontId="4" fillId="0" borderId="17" xfId="4" applyFont="1" applyBorder="1" applyAlignment="1">
      <alignment horizontal="left" vertical="center"/>
    </xf>
    <xf numFmtId="0" fontId="4" fillId="0" borderId="6" xfId="4" applyFont="1" applyBorder="1" applyAlignment="1">
      <alignment vertical="center" wrapText="1"/>
    </xf>
    <xf numFmtId="0" fontId="4" fillId="0" borderId="16" xfId="4" applyFont="1" applyBorder="1" applyAlignment="1">
      <alignment vertical="center" wrapText="1"/>
    </xf>
    <xf numFmtId="0" fontId="4" fillId="0" borderId="17" xfId="4" applyFont="1" applyBorder="1" applyAlignment="1">
      <alignment vertical="center" wrapText="1"/>
    </xf>
    <xf numFmtId="0" fontId="5" fillId="0" borderId="0" xfId="4" applyFont="1" applyAlignment="1">
      <alignment horizontal="left"/>
    </xf>
    <xf numFmtId="0" fontId="10" fillId="0" borderId="0" xfId="4" applyFont="1" applyAlignment="1">
      <alignment horizontal="center" vertical="top" wrapText="1"/>
    </xf>
    <xf numFmtId="0" fontId="23" fillId="0" borderId="0" xfId="4" applyFont="1" applyAlignment="1">
      <alignment horizontal="center" vertical="top" wrapText="1"/>
    </xf>
    <xf numFmtId="0" fontId="4" fillId="0" borderId="0" xfId="4" applyFont="1" applyAlignment="1">
      <alignment horizontal="left"/>
    </xf>
    <xf numFmtId="0" fontId="4" fillId="0" borderId="11" xfId="4" applyFont="1" applyBorder="1" applyAlignment="1">
      <alignment horizontal="center"/>
    </xf>
    <xf numFmtId="0" fontId="4" fillId="0" borderId="11" xfId="4" applyFont="1" applyBorder="1" applyAlignment="1">
      <alignment horizontal="left"/>
    </xf>
    <xf numFmtId="0" fontId="20" fillId="0" borderId="0" xfId="4" applyFont="1" applyAlignment="1">
      <alignment horizontal="center"/>
    </xf>
    <xf numFmtId="0" fontId="13" fillId="0" borderId="9" xfId="4" applyFont="1" applyBorder="1" applyAlignment="1">
      <alignment horizontal="center"/>
    </xf>
    <xf numFmtId="0" fontId="27" fillId="0" borderId="6" xfId="2" applyFont="1" applyBorder="1" applyAlignment="1">
      <alignment horizontal="left" vertical="top" wrapText="1"/>
    </xf>
    <xf numFmtId="0" fontId="27" fillId="0" borderId="16" xfId="2" applyFont="1" applyBorder="1" applyAlignment="1">
      <alignment horizontal="left" vertical="top" wrapText="1"/>
    </xf>
    <xf numFmtId="0" fontId="27" fillId="0" borderId="17" xfId="2" applyFont="1" applyBorder="1" applyAlignment="1">
      <alignment horizontal="left" vertical="top" wrapText="1"/>
    </xf>
    <xf numFmtId="0" fontId="4" fillId="0" borderId="0" xfId="4" applyFont="1" applyBorder="1" applyAlignment="1">
      <alignment horizontal="left"/>
    </xf>
    <xf numFmtId="0" fontId="27" fillId="0" borderId="6" xfId="2" applyFont="1" applyFill="1" applyBorder="1" applyAlignment="1">
      <alignment horizontal="left" vertical="top" wrapText="1"/>
    </xf>
    <xf numFmtId="0" fontId="27" fillId="0" borderId="16" xfId="2" applyFont="1" applyFill="1" applyBorder="1" applyAlignment="1">
      <alignment horizontal="left" vertical="top" wrapText="1"/>
    </xf>
    <xf numFmtId="0" fontId="27" fillId="0" borderId="17" xfId="2" applyFont="1" applyFill="1" applyBorder="1" applyAlignment="1">
      <alignment horizontal="left" vertical="top" wrapText="1"/>
    </xf>
    <xf numFmtId="0" fontId="13" fillId="0" borderId="1" xfId="4" applyFont="1" applyBorder="1" applyAlignment="1">
      <alignment horizontal="left"/>
    </xf>
    <xf numFmtId="0" fontId="25" fillId="0" borderId="0" xfId="4" applyFont="1" applyAlignment="1">
      <alignment horizontal="center" vertical="top" wrapText="1"/>
    </xf>
    <xf numFmtId="0" fontId="26" fillId="0" borderId="0" xfId="4" applyFont="1" applyAlignment="1">
      <alignment horizontal="center" vertical="top" wrapText="1"/>
    </xf>
    <xf numFmtId="0" fontId="25" fillId="0" borderId="6" xfId="4" applyFont="1" applyBorder="1" applyAlignment="1">
      <alignment vertical="center" wrapText="1"/>
    </xf>
    <xf numFmtId="0" fontId="25" fillId="0" borderId="16" xfId="4" applyFont="1" applyBorder="1" applyAlignment="1">
      <alignment vertical="center" wrapText="1"/>
    </xf>
    <xf numFmtId="0" fontId="25" fillId="0" borderId="17" xfId="4" applyFont="1" applyBorder="1" applyAlignment="1">
      <alignment vertical="center" wrapText="1"/>
    </xf>
    <xf numFmtId="0" fontId="4" fillId="0" borderId="6" xfId="4" applyFont="1" applyBorder="1" applyAlignment="1">
      <alignment horizontal="left" vertical="center" wrapText="1"/>
    </xf>
    <xf numFmtId="0" fontId="4" fillId="0" borderId="16" xfId="4" applyFont="1" applyBorder="1" applyAlignment="1">
      <alignment horizontal="left" vertical="center" wrapText="1"/>
    </xf>
    <xf numFmtId="0" fontId="4" fillId="0" borderId="17" xfId="4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/>
    </xf>
    <xf numFmtId="0" fontId="4" fillId="0" borderId="0" xfId="5" applyFont="1" applyAlignment="1">
      <alignment horizontal="center"/>
    </xf>
    <xf numFmtId="0" fontId="4" fillId="0" borderId="0" xfId="5" applyFont="1" applyBorder="1" applyAlignment="1">
      <alignment horizontal="center"/>
    </xf>
    <xf numFmtId="0" fontId="4" fillId="0" borderId="0" xfId="5" applyFont="1" applyBorder="1" applyAlignment="1">
      <alignment horizontal="left"/>
    </xf>
    <xf numFmtId="0" fontId="26" fillId="0" borderId="0" xfId="5" applyFont="1" applyAlignment="1">
      <alignment horizontal="center" vertical="top" wrapText="1"/>
    </xf>
    <xf numFmtId="0" fontId="4" fillId="0" borderId="1" xfId="5" applyFont="1" applyBorder="1" applyAlignment="1">
      <alignment horizontal="center"/>
    </xf>
    <xf numFmtId="0" fontId="24" fillId="0" borderId="6" xfId="5" applyFont="1" applyBorder="1" applyAlignment="1">
      <alignment horizontal="left"/>
    </xf>
    <xf numFmtId="0" fontId="24" fillId="0" borderId="16" xfId="5" applyFont="1" applyBorder="1" applyAlignment="1">
      <alignment horizontal="left"/>
    </xf>
    <xf numFmtId="0" fontId="24" fillId="0" borderId="17" xfId="5" applyFont="1" applyBorder="1" applyAlignment="1">
      <alignment horizontal="left"/>
    </xf>
    <xf numFmtId="0" fontId="4" fillId="0" borderId="2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4" xfId="5" applyFont="1" applyBorder="1" applyAlignment="1">
      <alignment horizontal="center" vertical="center" wrapText="1"/>
    </xf>
    <xf numFmtId="0" fontId="13" fillId="0" borderId="1" xfId="5" applyFont="1" applyBorder="1" applyAlignment="1">
      <alignment horizontal="left"/>
    </xf>
    <xf numFmtId="0" fontId="4" fillId="0" borderId="0" xfId="5" applyFont="1" applyAlignment="1">
      <alignment horizontal="left"/>
    </xf>
    <xf numFmtId="0" fontId="25" fillId="0" borderId="0" xfId="5" applyFont="1" applyAlignment="1">
      <alignment horizontal="center" vertical="top" wrapText="1"/>
    </xf>
    <xf numFmtId="0" fontId="5" fillId="0" borderId="0" xfId="5" applyFont="1" applyAlignment="1">
      <alignment horizontal="left"/>
    </xf>
  </cellXfs>
  <cellStyles count="6">
    <cellStyle name="Обычный" xfId="0" builtinId="0"/>
    <cellStyle name="Обычный 2" xfId="1"/>
    <cellStyle name="Обычный 2 2" xfId="2"/>
    <cellStyle name="Обычный 2 3" xfId="4"/>
    <cellStyle name="Обычный 3" xfId="3"/>
    <cellStyle name="Обычный 4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E18"/>
  <sheetViews>
    <sheetView tabSelected="1" workbookViewId="0">
      <selection activeCell="B17" sqref="B17"/>
    </sheetView>
  </sheetViews>
  <sheetFormatPr defaultRowHeight="15" x14ac:dyDescent="0.25"/>
  <cols>
    <col min="3" max="3" width="18.7109375" customWidth="1"/>
    <col min="4" max="4" width="15.28515625" customWidth="1"/>
    <col min="5" max="5" width="22.85546875" customWidth="1"/>
  </cols>
  <sheetData>
    <row r="4" spans="2:5" ht="15.75" x14ac:dyDescent="0.25">
      <c r="B4" s="208" t="s">
        <v>36</v>
      </c>
      <c r="C4" s="208"/>
      <c r="D4" s="208"/>
      <c r="E4" s="208"/>
    </row>
    <row r="5" spans="2:5" ht="15.75" x14ac:dyDescent="0.25">
      <c r="B5" s="208" t="s">
        <v>37</v>
      </c>
      <c r="C5" s="208"/>
      <c r="D5" s="208"/>
      <c r="E5" s="208"/>
    </row>
    <row r="6" spans="2:5" ht="15.75" x14ac:dyDescent="0.25">
      <c r="B6" s="209"/>
      <c r="C6" s="209"/>
      <c r="D6" s="209"/>
      <c r="E6" s="209"/>
    </row>
    <row r="7" spans="2:5" x14ac:dyDescent="0.25">
      <c r="B7" s="186" t="s">
        <v>295</v>
      </c>
      <c r="C7" s="186"/>
      <c r="D7" s="186"/>
      <c r="E7" s="186"/>
    </row>
    <row r="8" spans="2:5" x14ac:dyDescent="0.25">
      <c r="B8" s="185"/>
      <c r="C8" s="185"/>
      <c r="D8" s="185"/>
      <c r="E8" s="185"/>
    </row>
    <row r="9" spans="2:5" x14ac:dyDescent="0.25">
      <c r="B9" s="111"/>
      <c r="C9" s="111"/>
      <c r="D9" s="114"/>
      <c r="E9" s="114"/>
    </row>
    <row r="10" spans="2:5" x14ac:dyDescent="0.25">
      <c r="B10" s="216" t="s">
        <v>0</v>
      </c>
      <c r="C10" s="216" t="s">
        <v>40</v>
      </c>
      <c r="D10" s="212" t="s">
        <v>41</v>
      </c>
      <c r="E10" s="212" t="s">
        <v>271</v>
      </c>
    </row>
    <row r="11" spans="2:5" x14ac:dyDescent="0.25">
      <c r="B11" s="216"/>
      <c r="C11" s="216"/>
      <c r="D11" s="212"/>
      <c r="E11" s="212"/>
    </row>
    <row r="12" spans="2:5" x14ac:dyDescent="0.25">
      <c r="B12" s="216"/>
      <c r="C12" s="216"/>
      <c r="D12" s="212"/>
      <c r="E12" s="212"/>
    </row>
    <row r="13" spans="2:5" x14ac:dyDescent="0.25">
      <c r="B13" s="117">
        <v>1</v>
      </c>
      <c r="C13" s="117">
        <v>3</v>
      </c>
      <c r="D13" s="117">
        <v>6</v>
      </c>
      <c r="E13" s="117">
        <v>10</v>
      </c>
    </row>
    <row r="14" spans="2:5" ht="51.75" customHeight="1" x14ac:dyDescent="0.25">
      <c r="B14" s="117">
        <v>1</v>
      </c>
      <c r="C14" s="119" t="s">
        <v>296</v>
      </c>
      <c r="D14" s="121">
        <v>4178147</v>
      </c>
      <c r="E14" s="122">
        <f>D14*1.2</f>
        <v>5013776.3999999994</v>
      </c>
    </row>
    <row r="15" spans="2:5" ht="45" x14ac:dyDescent="0.25">
      <c r="B15" s="117">
        <v>2</v>
      </c>
      <c r="C15" s="119" t="s">
        <v>297</v>
      </c>
      <c r="D15" s="121">
        <v>867981.00263259036</v>
      </c>
      <c r="E15" s="122">
        <v>1041577.2031591084</v>
      </c>
    </row>
    <row r="16" spans="2:5" ht="45" x14ac:dyDescent="0.25">
      <c r="B16" s="117">
        <v>3</v>
      </c>
      <c r="C16" s="119" t="s">
        <v>298</v>
      </c>
      <c r="D16" s="121">
        <v>741667.00221727183</v>
      </c>
      <c r="E16" s="122">
        <v>890000.4026607261</v>
      </c>
    </row>
    <row r="17" spans="2:5" ht="61.5" customHeight="1" x14ac:dyDescent="0.25">
      <c r="B17" s="117">
        <v>4</v>
      </c>
      <c r="C17" s="119" t="s">
        <v>299</v>
      </c>
      <c r="D17" s="121">
        <v>88943.140381083344</v>
      </c>
      <c r="E17" s="191">
        <v>106731.7684573</v>
      </c>
    </row>
    <row r="18" spans="2:5" x14ac:dyDescent="0.25">
      <c r="B18" s="117"/>
      <c r="C18" s="192"/>
      <c r="D18" s="184">
        <f>SUM(D14:D17)</f>
        <v>5876738.1452309452</v>
      </c>
      <c r="E18" s="184">
        <f>SUM(E14:E17)</f>
        <v>7052085.7742771348</v>
      </c>
    </row>
  </sheetData>
  <mergeCells count="7">
    <mergeCell ref="B4:E4"/>
    <mergeCell ref="B5:E5"/>
    <mergeCell ref="B6:E6"/>
    <mergeCell ref="B10:B12"/>
    <mergeCell ref="C10:C12"/>
    <mergeCell ref="D10:D12"/>
    <mergeCell ref="E10:E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AL55"/>
  <sheetViews>
    <sheetView view="pageBreakPreview" zoomScale="55" zoomScaleNormal="100" zoomScaleSheetLayoutView="55" zoomScalePageLayoutView="55" workbookViewId="0">
      <selection activeCell="C2" sqref="C2"/>
    </sheetView>
  </sheetViews>
  <sheetFormatPr defaultRowHeight="15" x14ac:dyDescent="0.25"/>
  <cols>
    <col min="1" max="1" width="3.85546875" style="2" customWidth="1"/>
    <col min="2" max="2" width="62.28515625" style="1" customWidth="1"/>
    <col min="3" max="3" width="18.5703125" style="188" customWidth="1"/>
    <col min="4" max="4" width="12.28515625" style="1" customWidth="1"/>
    <col min="5" max="5" width="12.7109375" style="1" customWidth="1"/>
    <col min="6" max="6" width="13.85546875" style="1" customWidth="1"/>
    <col min="7" max="7" width="14.5703125" style="1" customWidth="1"/>
    <col min="8" max="16384" width="9.140625" style="1"/>
  </cols>
  <sheetData>
    <row r="1" spans="1:38" x14ac:dyDescent="0.25">
      <c r="D1" s="196"/>
      <c r="E1" s="196"/>
      <c r="F1" s="196"/>
      <c r="G1" s="196"/>
    </row>
    <row r="3" spans="1:38" ht="15.75" x14ac:dyDescent="0.25">
      <c r="A3" s="197" t="s">
        <v>104</v>
      </c>
      <c r="B3" s="197"/>
      <c r="C3" s="197"/>
      <c r="D3" s="197"/>
      <c r="E3" s="197"/>
      <c r="F3" s="197"/>
      <c r="G3" s="197"/>
    </row>
    <row r="4" spans="1:38" ht="35.25" customHeight="1" x14ac:dyDescent="0.25">
      <c r="A4" s="204" t="s">
        <v>272</v>
      </c>
      <c r="B4" s="204"/>
      <c r="C4" s="204"/>
      <c r="D4" s="204"/>
      <c r="E4" s="204"/>
      <c r="F4" s="204"/>
    </row>
    <row r="5" spans="1:38" ht="30.75" customHeight="1" x14ac:dyDescent="0.25">
      <c r="A5" s="201" t="s">
        <v>0</v>
      </c>
      <c r="B5" s="201" t="s">
        <v>33</v>
      </c>
      <c r="C5" s="201" t="s">
        <v>1</v>
      </c>
      <c r="D5" s="200" t="s">
        <v>8</v>
      </c>
      <c r="E5" s="200"/>
      <c r="F5" s="200"/>
      <c r="G5" s="200"/>
    </row>
    <row r="6" spans="1:38" ht="17.25" customHeight="1" x14ac:dyDescent="0.25">
      <c r="A6" s="202"/>
      <c r="B6" s="202"/>
      <c r="C6" s="202"/>
      <c r="D6" s="200"/>
      <c r="E6" s="200"/>
      <c r="F6" s="200"/>
      <c r="G6" s="200"/>
    </row>
    <row r="7" spans="1:38" ht="23.25" customHeight="1" x14ac:dyDescent="0.25">
      <c r="A7" s="202"/>
      <c r="B7" s="202"/>
      <c r="C7" s="202"/>
      <c r="D7" s="156" t="s">
        <v>6</v>
      </c>
      <c r="E7" s="205" t="s">
        <v>5</v>
      </c>
      <c r="F7" s="205"/>
      <c r="G7" s="198" t="s">
        <v>115</v>
      </c>
    </row>
    <row r="8" spans="1:38" ht="35.25" customHeight="1" x14ac:dyDescent="0.25">
      <c r="A8" s="203"/>
      <c r="B8" s="203"/>
      <c r="C8" s="203"/>
      <c r="D8" s="157" t="s">
        <v>2</v>
      </c>
      <c r="E8" s="156" t="s">
        <v>3</v>
      </c>
      <c r="F8" s="156" t="s">
        <v>4</v>
      </c>
      <c r="G8" s="199"/>
      <c r="H8" s="10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</row>
    <row r="9" spans="1:38" x14ac:dyDescent="0.25">
      <c r="A9" s="158">
        <v>1</v>
      </c>
      <c r="B9" s="187" t="s">
        <v>120</v>
      </c>
      <c r="C9" s="159" t="s">
        <v>7</v>
      </c>
      <c r="D9" s="160">
        <f>'Протокол ВЛ-10'!M91/1000</f>
        <v>29.495451134427118</v>
      </c>
      <c r="E9" s="161"/>
      <c r="F9" s="161"/>
      <c r="G9" s="160"/>
      <c r="H9" s="3"/>
    </row>
    <row r="10" spans="1:38" x14ac:dyDescent="0.25">
      <c r="A10" s="158">
        <v>2</v>
      </c>
      <c r="B10" s="162" t="s">
        <v>121</v>
      </c>
      <c r="C10" s="159" t="s">
        <v>7</v>
      </c>
      <c r="D10" s="160">
        <f>'Протокол ВЛ-10'!M92/1000</f>
        <v>59.222559464398607</v>
      </c>
      <c r="E10" s="161"/>
      <c r="F10" s="161"/>
      <c r="G10" s="160"/>
      <c r="H10" s="3"/>
    </row>
    <row r="11" spans="1:38" x14ac:dyDescent="0.25">
      <c r="A11" s="158">
        <v>3</v>
      </c>
      <c r="B11" s="163" t="s">
        <v>122</v>
      </c>
      <c r="C11" s="159" t="s">
        <v>7</v>
      </c>
      <c r="D11" s="160">
        <f>'Протокол ВЛ-10'!M93/1000</f>
        <v>89.135796986165857</v>
      </c>
      <c r="E11" s="161"/>
      <c r="F11" s="161"/>
      <c r="G11" s="160"/>
      <c r="H11" s="3"/>
    </row>
    <row r="12" spans="1:38" x14ac:dyDescent="0.25">
      <c r="A12" s="158">
        <v>4</v>
      </c>
      <c r="B12" s="106" t="s">
        <v>9</v>
      </c>
      <c r="C12" s="164" t="s">
        <v>21</v>
      </c>
      <c r="D12" s="160"/>
      <c r="E12" s="161"/>
      <c r="F12" s="161">
        <f>'Протокол ВЛ-10'!M94/1000</f>
        <v>337.30225012514273</v>
      </c>
      <c r="G12" s="160"/>
      <c r="H12" s="3"/>
    </row>
    <row r="13" spans="1:38" x14ac:dyDescent="0.25">
      <c r="A13" s="158">
        <v>5</v>
      </c>
      <c r="B13" s="106" t="s">
        <v>10</v>
      </c>
      <c r="C13" s="164" t="s">
        <v>21</v>
      </c>
      <c r="D13" s="160"/>
      <c r="E13" s="161"/>
      <c r="F13" s="161">
        <f>'Протокол ВЛ-10'!M95/1000</f>
        <v>301.80379779056869</v>
      </c>
      <c r="G13" s="160"/>
      <c r="H13" s="3"/>
    </row>
    <row r="14" spans="1:38" x14ac:dyDescent="0.25">
      <c r="A14" s="158">
        <v>6</v>
      </c>
      <c r="B14" s="106" t="s">
        <v>11</v>
      </c>
      <c r="C14" s="164" t="s">
        <v>21</v>
      </c>
      <c r="D14" s="160"/>
      <c r="E14" s="161"/>
      <c r="F14" s="161">
        <f>'Протокол ВЛ-10'!M96/1000</f>
        <v>392.04030122030377</v>
      </c>
      <c r="G14" s="160"/>
      <c r="H14" s="3"/>
    </row>
    <row r="15" spans="1:38" x14ac:dyDescent="0.25">
      <c r="A15" s="158">
        <v>7</v>
      </c>
      <c r="B15" s="106" t="s">
        <v>12</v>
      </c>
      <c r="C15" s="159" t="s">
        <v>7</v>
      </c>
      <c r="D15" s="160">
        <f>'Протокол ВЛ-10'!M97/1000</f>
        <v>5.4298839764880356</v>
      </c>
      <c r="E15" s="161"/>
      <c r="F15" s="161"/>
      <c r="G15" s="160"/>
      <c r="H15" s="3"/>
    </row>
    <row r="16" spans="1:38" x14ac:dyDescent="0.25">
      <c r="A16" s="158">
        <v>8</v>
      </c>
      <c r="B16" s="106" t="s">
        <v>13</v>
      </c>
      <c r="C16" s="159" t="s">
        <v>7</v>
      </c>
      <c r="D16" s="160">
        <f>'Протокол ВЛ-10'!M98/1000</f>
        <v>1.6939095512348619</v>
      </c>
      <c r="E16" s="161"/>
      <c r="F16" s="161"/>
      <c r="G16" s="160"/>
      <c r="H16" s="3"/>
    </row>
    <row r="17" spans="1:8" x14ac:dyDescent="0.25">
      <c r="A17" s="158">
        <v>9</v>
      </c>
      <c r="B17" s="106" t="s">
        <v>14</v>
      </c>
      <c r="C17" s="159" t="s">
        <v>7</v>
      </c>
      <c r="D17" s="160">
        <f>'Протокол ВЛ-10'!M99/1000</f>
        <v>4.9692477032668565</v>
      </c>
      <c r="E17" s="161"/>
      <c r="F17" s="161"/>
      <c r="G17" s="160"/>
      <c r="H17" s="3"/>
    </row>
    <row r="18" spans="1:8" x14ac:dyDescent="0.25">
      <c r="A18" s="158">
        <v>10</v>
      </c>
      <c r="B18" s="106" t="s">
        <v>15</v>
      </c>
      <c r="C18" s="159" t="s">
        <v>7</v>
      </c>
      <c r="D18" s="160">
        <f>'Протокол ВЛ-10'!M100/1000</f>
        <v>7.2456478906971054</v>
      </c>
      <c r="E18" s="161"/>
      <c r="F18" s="161"/>
      <c r="G18" s="160"/>
      <c r="H18" s="3"/>
    </row>
    <row r="19" spans="1:8" x14ac:dyDescent="0.25">
      <c r="A19" s="158">
        <v>11</v>
      </c>
      <c r="B19" s="106" t="s">
        <v>123</v>
      </c>
      <c r="C19" s="159" t="s">
        <v>7</v>
      </c>
      <c r="D19" s="160"/>
      <c r="E19" s="161"/>
      <c r="F19" s="161">
        <f>'Протокол ВЛ-10'!M101/1000</f>
        <v>1.9322620414481466</v>
      </c>
      <c r="G19" s="160"/>
      <c r="H19" s="3"/>
    </row>
    <row r="20" spans="1:8" x14ac:dyDescent="0.25">
      <c r="A20" s="158">
        <v>12</v>
      </c>
      <c r="B20" s="106" t="str">
        <f>'Протокол ВЛ-10'!B102:F102</f>
        <v>Заземление траверс на опорах ВЛ 6,10 кВ</v>
      </c>
      <c r="C20" s="164" t="s">
        <v>127</v>
      </c>
      <c r="D20" s="160">
        <f>'Протокол ВЛ-10'!M102/1000</f>
        <v>4.6773328557022706</v>
      </c>
      <c r="E20" s="161"/>
      <c r="F20" s="161"/>
      <c r="G20" s="160"/>
      <c r="H20" s="3"/>
    </row>
    <row r="21" spans="1:8" x14ac:dyDescent="0.25">
      <c r="A21" s="158">
        <v>13</v>
      </c>
      <c r="B21" s="106" t="str">
        <f>'Протокол ВЛ-10'!B103:F103</f>
        <v>Контур заземления разъединителя</v>
      </c>
      <c r="C21" s="164" t="s">
        <v>127</v>
      </c>
      <c r="D21" s="160">
        <f>'Протокол ВЛ-10'!M103/1000</f>
        <v>6.9805142218081713</v>
      </c>
      <c r="E21" s="161"/>
      <c r="F21" s="161"/>
      <c r="G21" s="160"/>
      <c r="H21" s="3"/>
    </row>
    <row r="22" spans="1:8" x14ac:dyDescent="0.25">
      <c r="A22" s="158">
        <v>14</v>
      </c>
      <c r="B22" s="165" t="s">
        <v>19</v>
      </c>
      <c r="C22" s="164" t="s">
        <v>23</v>
      </c>
      <c r="D22" s="160">
        <f>'Протокол ВЛ-10'!M104/1000</f>
        <v>9.3158330023248492</v>
      </c>
      <c r="E22" s="161"/>
      <c r="F22" s="161"/>
      <c r="G22" s="160"/>
      <c r="H22" s="3"/>
    </row>
    <row r="23" spans="1:8" x14ac:dyDescent="0.25">
      <c r="A23" s="158">
        <v>15</v>
      </c>
      <c r="B23" s="165" t="s">
        <v>118</v>
      </c>
      <c r="C23" s="164" t="s">
        <v>22</v>
      </c>
      <c r="D23" s="160">
        <f>'Протокол ВЛ-10'!M105/1000</f>
        <v>2.0380476972169643</v>
      </c>
      <c r="E23" s="161"/>
      <c r="F23" s="161"/>
      <c r="G23" s="160"/>
      <c r="H23" s="3"/>
    </row>
    <row r="24" spans="1:8" x14ac:dyDescent="0.25">
      <c r="A24" s="158">
        <v>16</v>
      </c>
      <c r="B24" s="106" t="s">
        <v>24</v>
      </c>
      <c r="C24" s="159" t="s">
        <v>7</v>
      </c>
      <c r="D24" s="160">
        <f>'Протокол ВЛ-0,4'!M73/1000</f>
        <v>25.033706767063826</v>
      </c>
      <c r="E24" s="161"/>
      <c r="F24" s="161"/>
      <c r="G24" s="160"/>
      <c r="H24" s="3"/>
    </row>
    <row r="25" spans="1:8" x14ac:dyDescent="0.25">
      <c r="A25" s="158">
        <v>17</v>
      </c>
      <c r="B25" s="162" t="s">
        <v>25</v>
      </c>
      <c r="C25" s="159" t="s">
        <v>7</v>
      </c>
      <c r="D25" s="160">
        <f>'Протокол ВЛ-0,4'!M74/1000</f>
        <v>51.679640490401788</v>
      </c>
      <c r="E25" s="161"/>
      <c r="F25" s="161"/>
      <c r="G25" s="160"/>
      <c r="H25" s="3"/>
    </row>
    <row r="26" spans="1:8" x14ac:dyDescent="0.25">
      <c r="A26" s="158">
        <v>18</v>
      </c>
      <c r="B26" s="166" t="s">
        <v>26</v>
      </c>
      <c r="C26" s="159" t="s">
        <v>7</v>
      </c>
      <c r="D26" s="160">
        <f>'Протокол ВЛ-0,4'!M75/1000</f>
        <v>78.573300116489506</v>
      </c>
      <c r="E26" s="161"/>
      <c r="F26" s="161"/>
      <c r="G26" s="160"/>
      <c r="H26" s="3"/>
    </row>
    <row r="27" spans="1:8" x14ac:dyDescent="0.25">
      <c r="A27" s="158">
        <v>19</v>
      </c>
      <c r="B27" s="106" t="s">
        <v>27</v>
      </c>
      <c r="C27" s="164" t="s">
        <v>21</v>
      </c>
      <c r="D27" s="160"/>
      <c r="E27" s="161">
        <f>'Протокол ВЛ-0,4'!M76/1000</f>
        <v>421.20902197488795</v>
      </c>
      <c r="F27" s="161"/>
      <c r="G27" s="160"/>
      <c r="H27" s="3"/>
    </row>
    <row r="28" spans="1:8" x14ac:dyDescent="0.25">
      <c r="A28" s="158">
        <v>20</v>
      </c>
      <c r="B28" s="106" t="s">
        <v>28</v>
      </c>
      <c r="C28" s="164" t="s">
        <v>21</v>
      </c>
      <c r="D28" s="160"/>
      <c r="E28" s="161">
        <f>'Протокол ВЛ-0,4'!M77/1000</f>
        <v>400.45896473699429</v>
      </c>
      <c r="F28" s="161"/>
      <c r="G28" s="160"/>
      <c r="H28" s="3"/>
    </row>
    <row r="29" spans="1:8" x14ac:dyDescent="0.25">
      <c r="A29" s="158">
        <v>21</v>
      </c>
      <c r="B29" s="106" t="s">
        <v>12</v>
      </c>
      <c r="C29" s="159" t="s">
        <v>7</v>
      </c>
      <c r="D29" s="160">
        <f>'Протокол ВЛ-0,4'!M78/1000</f>
        <v>5.4298839764880356</v>
      </c>
      <c r="E29" s="161"/>
      <c r="F29" s="161"/>
      <c r="G29" s="160"/>
      <c r="H29" s="3"/>
    </row>
    <row r="30" spans="1:8" x14ac:dyDescent="0.25">
      <c r="A30" s="158">
        <v>22</v>
      </c>
      <c r="B30" s="106" t="s">
        <v>13</v>
      </c>
      <c r="C30" s="159" t="s">
        <v>7</v>
      </c>
      <c r="D30" s="160">
        <f>'Протокол ВЛ-0,4'!M79/1000</f>
        <v>1.6939095512348619</v>
      </c>
      <c r="E30" s="161"/>
      <c r="F30" s="161"/>
      <c r="G30" s="160"/>
      <c r="H30" s="3"/>
    </row>
    <row r="31" spans="1:8" x14ac:dyDescent="0.25">
      <c r="A31" s="158">
        <v>23</v>
      </c>
      <c r="B31" s="106" t="s">
        <v>14</v>
      </c>
      <c r="C31" s="159" t="s">
        <v>7</v>
      </c>
      <c r="D31" s="160">
        <f>'Протокол ВЛ-0,4'!M80/1000</f>
        <v>4.9692477032668565</v>
      </c>
      <c r="E31" s="161"/>
      <c r="F31" s="161"/>
      <c r="G31" s="160"/>
      <c r="H31" s="3"/>
    </row>
    <row r="32" spans="1:8" x14ac:dyDescent="0.25">
      <c r="A32" s="158">
        <v>24</v>
      </c>
      <c r="B32" s="106" t="s">
        <v>15</v>
      </c>
      <c r="C32" s="159" t="s">
        <v>7</v>
      </c>
      <c r="D32" s="160">
        <f>'Протокол ВЛ-0,4'!M81/1000</f>
        <v>7.2456478906971054</v>
      </c>
      <c r="E32" s="161"/>
      <c r="F32" s="161"/>
      <c r="G32" s="160"/>
      <c r="H32" s="3"/>
    </row>
    <row r="33" spans="1:8" x14ac:dyDescent="0.25">
      <c r="A33" s="158">
        <v>25</v>
      </c>
      <c r="B33" s="106" t="s">
        <v>29</v>
      </c>
      <c r="C33" s="164" t="s">
        <v>21</v>
      </c>
      <c r="D33" s="160"/>
      <c r="E33" s="161">
        <f>'Протокол ВЛ-0,4'!M82/1000</f>
        <v>54.948283347764871</v>
      </c>
      <c r="F33" s="161"/>
      <c r="G33" s="160"/>
      <c r="H33" s="3"/>
    </row>
    <row r="34" spans="1:8" x14ac:dyDescent="0.25">
      <c r="A34" s="158">
        <v>26</v>
      </c>
      <c r="B34" s="165" t="str">
        <f>'Протокол ВЛ-0,4'!B83:F83</f>
        <v>Повторное заземление нулевого провода ВЛ-0,4 кВ</v>
      </c>
      <c r="C34" s="164" t="s">
        <v>127</v>
      </c>
      <c r="D34" s="160">
        <f>'Протокол ВЛ-0,4'!M83/1000</f>
        <v>2.8870110612350692</v>
      </c>
      <c r="E34" s="161"/>
      <c r="F34" s="161"/>
      <c r="G34" s="160"/>
      <c r="H34" s="3"/>
    </row>
    <row r="35" spans="1:8" x14ac:dyDescent="0.25">
      <c r="A35" s="158">
        <v>27</v>
      </c>
      <c r="B35" s="165" t="s">
        <v>19</v>
      </c>
      <c r="C35" s="164" t="s">
        <v>23</v>
      </c>
      <c r="D35" s="160">
        <f>'Протокол ВЛ-0,4'!M84/1000</f>
        <v>9.3158330023248492</v>
      </c>
      <c r="E35" s="161"/>
      <c r="F35" s="161"/>
      <c r="G35" s="160"/>
      <c r="H35" s="3"/>
    </row>
    <row r="36" spans="1:8" ht="30" customHeight="1" x14ac:dyDescent="0.25">
      <c r="A36" s="158">
        <v>28</v>
      </c>
      <c r="B36" s="165" t="s">
        <v>20</v>
      </c>
      <c r="C36" s="164" t="s">
        <v>22</v>
      </c>
      <c r="D36" s="160">
        <f>'Протокол ВЛ-0,4'!M85/1000</f>
        <v>2.3661305265830146</v>
      </c>
      <c r="E36" s="161"/>
      <c r="F36" s="161"/>
      <c r="G36" s="160"/>
      <c r="H36" s="3"/>
    </row>
    <row r="37" spans="1:8" x14ac:dyDescent="0.25">
      <c r="A37" s="158">
        <v>29</v>
      </c>
      <c r="B37" s="165" t="str">
        <f>'Протокол МТП, ТП, СТП'!C20</f>
        <v>Монтаж СТП 25кВА ВВ, тупиковая</v>
      </c>
      <c r="C37" s="167" t="s">
        <v>30</v>
      </c>
      <c r="D37" s="160"/>
      <c r="E37" s="161"/>
      <c r="F37" s="161"/>
      <c r="G37" s="160">
        <f>'Протокол МТП, ТП, СТП'!F20</f>
        <v>458988</v>
      </c>
      <c r="H37" s="3"/>
    </row>
    <row r="38" spans="1:8" x14ac:dyDescent="0.25">
      <c r="A38" s="158">
        <v>30</v>
      </c>
      <c r="B38" s="165" t="str">
        <f>'Протокол МТП, ТП, СТП'!C21</f>
        <v>Монтаж СТП 40кВА ВВ, тупиковая</v>
      </c>
      <c r="C38" s="167" t="s">
        <v>30</v>
      </c>
      <c r="D38" s="160"/>
      <c r="E38" s="161"/>
      <c r="F38" s="161"/>
      <c r="G38" s="160">
        <f>'Протокол МТП, ТП, СТП'!F21</f>
        <v>471405.6</v>
      </c>
      <c r="H38" s="3"/>
    </row>
    <row r="39" spans="1:8" x14ac:dyDescent="0.25">
      <c r="A39" s="158">
        <v>31</v>
      </c>
      <c r="B39" s="165" t="str">
        <f>'Протокол МТП, ТП, СТП'!C22</f>
        <v>Монтаж МТП 40кВА ВВ, тупиковая</v>
      </c>
      <c r="C39" s="167" t="s">
        <v>30</v>
      </c>
      <c r="D39" s="160"/>
      <c r="E39" s="161"/>
      <c r="F39" s="161"/>
      <c r="G39" s="160">
        <f>'Протокол МТП, ТП, СТП'!F22</f>
        <v>505662</v>
      </c>
      <c r="H39" s="3"/>
    </row>
    <row r="40" spans="1:8" ht="17.25" customHeight="1" x14ac:dyDescent="0.25">
      <c r="A40" s="158">
        <v>32</v>
      </c>
      <c r="B40" s="165" t="str">
        <f>'Протокол МТП, ТП, СТП'!C23</f>
        <v>Монтаж МТП 100кВА ВВ, тупиковая</v>
      </c>
      <c r="C40" s="167" t="s">
        <v>30</v>
      </c>
      <c r="D40" s="168"/>
      <c r="E40" s="169"/>
      <c r="F40" s="169"/>
      <c r="G40" s="160">
        <f>'Протокол МТП, ТП, СТП'!F23</f>
        <v>581269.19999999995</v>
      </c>
      <c r="H40" s="3"/>
    </row>
    <row r="41" spans="1:8" ht="17.25" customHeight="1" x14ac:dyDescent="0.25">
      <c r="A41" s="158">
        <v>33</v>
      </c>
      <c r="B41" s="165" t="str">
        <f>'Протокол МТП, ТП, СТП'!C24</f>
        <v>Монтаж МТП 250кВА ВВ, тупиковая</v>
      </c>
      <c r="C41" s="167" t="s">
        <v>30</v>
      </c>
      <c r="D41" s="168"/>
      <c r="E41" s="169"/>
      <c r="F41" s="169"/>
      <c r="G41" s="160">
        <f>'Протокол МТП, ТП, СТП'!F24</f>
        <v>706720.79999999993</v>
      </c>
      <c r="H41" s="3"/>
    </row>
    <row r="42" spans="1:8" ht="17.25" customHeight="1" x14ac:dyDescent="0.25">
      <c r="A42" s="158">
        <v>34</v>
      </c>
      <c r="B42" s="165" t="str">
        <f>'Протокол МТП, ТП, СТП'!C25</f>
        <v>Монтаж КТПН-250кВА ВВ, тупиковая</v>
      </c>
      <c r="C42" s="167" t="s">
        <v>30</v>
      </c>
      <c r="D42" s="168"/>
      <c r="E42" s="169"/>
      <c r="F42" s="169"/>
      <c r="G42" s="160">
        <f>'Протокол МТП, ТП, СТП'!F25</f>
        <v>1099275.5999999999</v>
      </c>
      <c r="H42" s="3"/>
    </row>
    <row r="43" spans="1:8" ht="17.25" customHeight="1" x14ac:dyDescent="0.25">
      <c r="A43" s="158">
        <v>35</v>
      </c>
      <c r="B43" s="165" t="str">
        <f>'Протокол МТП, ТП, СТП'!C26</f>
        <v>Монтаж КТПН-400кВА ВВ, тупиковая</v>
      </c>
      <c r="C43" s="167" t="s">
        <v>30</v>
      </c>
      <c r="D43" s="168"/>
      <c r="E43" s="169"/>
      <c r="F43" s="169"/>
      <c r="G43" s="160">
        <f>'Протокол МТП, ТП, СТП'!F26</f>
        <v>1190455.2</v>
      </c>
      <c r="H43" s="3"/>
    </row>
    <row r="44" spans="1:8" x14ac:dyDescent="0.25">
      <c r="A44" s="158">
        <v>36</v>
      </c>
      <c r="B44" s="106" t="str">
        <f>ПИРы!C19</f>
        <v>Рабочий проект ВЛ-6 (10) кВ</v>
      </c>
      <c r="C44" s="170" t="s">
        <v>30</v>
      </c>
      <c r="D44" s="193">
        <f>ПИРы!M19/1000</f>
        <v>54.801428636499999</v>
      </c>
      <c r="E44" s="194"/>
      <c r="F44" s="194"/>
      <c r="G44" s="195"/>
      <c r="H44" s="3"/>
    </row>
    <row r="45" spans="1:8" x14ac:dyDescent="0.25">
      <c r="A45" s="158">
        <v>37</v>
      </c>
      <c r="B45" s="106" t="str">
        <f>ПИРы!C20</f>
        <v>Рабочий проект  ВЛ-0,4 кВ</v>
      </c>
      <c r="C45" s="170" t="s">
        <v>30</v>
      </c>
      <c r="D45" s="193">
        <f>ПИРы!M20/1000</f>
        <v>37.076873001700001</v>
      </c>
      <c r="E45" s="194"/>
      <c r="F45" s="194"/>
      <c r="G45" s="195"/>
      <c r="H45" s="3"/>
    </row>
    <row r="46" spans="1:8" x14ac:dyDescent="0.25">
      <c r="A46" s="158">
        <v>38</v>
      </c>
      <c r="B46" s="106" t="str">
        <f>ПИРы!C21</f>
        <v>Рабочий проект  СТП</v>
      </c>
      <c r="C46" s="170" t="s">
        <v>30</v>
      </c>
      <c r="D46" s="193">
        <f>ПИРы!M21/1000</f>
        <v>2.8833225364999997</v>
      </c>
      <c r="E46" s="194"/>
      <c r="F46" s="194"/>
      <c r="G46" s="195"/>
      <c r="H46" s="3"/>
    </row>
    <row r="47" spans="1:8" x14ac:dyDescent="0.25">
      <c r="A47" s="158">
        <v>39</v>
      </c>
      <c r="B47" s="106" t="str">
        <f>ПИРы!C22</f>
        <v xml:space="preserve">Рабочий проект  МТП </v>
      </c>
      <c r="C47" s="170" t="s">
        <v>30</v>
      </c>
      <c r="D47" s="193">
        <f>ПИРы!M22/1000</f>
        <v>2.8833225364999997</v>
      </c>
      <c r="E47" s="194"/>
      <c r="F47" s="194"/>
      <c r="G47" s="195"/>
      <c r="H47" s="3"/>
    </row>
    <row r="48" spans="1:8" x14ac:dyDescent="0.25">
      <c r="A48" s="158">
        <v>40</v>
      </c>
      <c r="B48" s="106" t="str">
        <f>ПИРы!C23</f>
        <v xml:space="preserve">Рабочий проект  КТП </v>
      </c>
      <c r="C48" s="170" t="s">
        <v>30</v>
      </c>
      <c r="D48" s="193">
        <f>ПИРы!M23/1000</f>
        <v>9.0868217460999983</v>
      </c>
      <c r="E48" s="194"/>
      <c r="F48" s="194"/>
      <c r="G48" s="195"/>
      <c r="H48" s="3"/>
    </row>
    <row r="49" spans="1:8" x14ac:dyDescent="0.25">
      <c r="A49" s="171"/>
      <c r="B49" s="172"/>
      <c r="C49" s="173"/>
      <c r="D49" s="174"/>
      <c r="E49" s="175"/>
      <c r="F49" s="175"/>
      <c r="G49" s="174"/>
      <c r="H49" s="3"/>
    </row>
    <row r="50" spans="1:8" x14ac:dyDescent="0.25">
      <c r="A50" s="176"/>
      <c r="B50" s="177"/>
      <c r="C50" s="176"/>
      <c r="D50" s="178"/>
      <c r="E50" s="179"/>
      <c r="F50" s="179"/>
    </row>
    <row r="51" spans="1:8" ht="17.25" customHeight="1" x14ac:dyDescent="0.25">
      <c r="A51" s="206" t="s">
        <v>270</v>
      </c>
      <c r="B51" s="206"/>
      <c r="C51" s="206"/>
      <c r="D51" s="206"/>
      <c r="E51" s="206"/>
      <c r="F51" s="206"/>
      <c r="G51" s="206"/>
    </row>
    <row r="52" spans="1:8" x14ac:dyDescent="0.25">
      <c r="A52" s="207" t="s">
        <v>32</v>
      </c>
      <c r="B52" s="207"/>
      <c r="C52" s="207"/>
      <c r="D52" s="207"/>
      <c r="E52" s="207"/>
      <c r="F52" s="207"/>
      <c r="G52" s="207"/>
    </row>
    <row r="53" spans="1:8" x14ac:dyDescent="0.25">
      <c r="A53" s="180"/>
      <c r="B53" s="180"/>
      <c r="C53" s="180"/>
      <c r="D53" s="180"/>
      <c r="E53" s="180"/>
      <c r="F53" s="180"/>
      <c r="G53" s="180"/>
    </row>
    <row r="54" spans="1:8" ht="15.75" customHeight="1" x14ac:dyDescent="0.25">
      <c r="A54" s="206" t="s">
        <v>132</v>
      </c>
      <c r="B54" s="206"/>
      <c r="C54" s="206"/>
      <c r="D54" s="206"/>
      <c r="E54" s="206"/>
      <c r="F54" s="206"/>
      <c r="G54" s="206"/>
    </row>
    <row r="55" spans="1:8" x14ac:dyDescent="0.25">
      <c r="A55" s="207" t="s">
        <v>32</v>
      </c>
      <c r="B55" s="207"/>
      <c r="C55" s="207"/>
      <c r="D55" s="207"/>
      <c r="E55" s="207"/>
      <c r="F55" s="207"/>
      <c r="G55" s="207"/>
    </row>
  </sheetData>
  <mergeCells count="18">
    <mergeCell ref="D48:G48"/>
    <mergeCell ref="A51:G51"/>
    <mergeCell ref="A52:G52"/>
    <mergeCell ref="A54:G54"/>
    <mergeCell ref="A55:G55"/>
    <mergeCell ref="D44:G44"/>
    <mergeCell ref="D45:G45"/>
    <mergeCell ref="D46:G46"/>
    <mergeCell ref="D47:G47"/>
    <mergeCell ref="D1:G1"/>
    <mergeCell ref="A3:G3"/>
    <mergeCell ref="G7:G8"/>
    <mergeCell ref="D5:G6"/>
    <mergeCell ref="A5:A8"/>
    <mergeCell ref="B5:B8"/>
    <mergeCell ref="A4:F4"/>
    <mergeCell ref="E7:F7"/>
    <mergeCell ref="C5:C8"/>
  </mergeCells>
  <pageMargins left="0.7" right="0.7" top="0.75" bottom="0.75" header="0.3" footer="0.3"/>
  <pageSetup paperSize="9" scale="6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3"/>
  <sheetViews>
    <sheetView view="pageLayout" zoomScale="70" zoomScaleNormal="85" zoomScaleSheetLayoutView="100" zoomScalePageLayoutView="70" workbookViewId="0">
      <selection activeCell="C30" sqref="C30"/>
    </sheetView>
  </sheetViews>
  <sheetFormatPr defaultRowHeight="15.75" x14ac:dyDescent="0.25"/>
  <cols>
    <col min="1" max="1" width="6.85546875" style="13" customWidth="1"/>
    <col min="2" max="2" width="12.42578125" style="13" customWidth="1"/>
    <col min="3" max="3" width="49" style="13" customWidth="1"/>
    <col min="4" max="4" width="11.28515625" style="13" customWidth="1"/>
    <col min="5" max="5" width="18.85546875" style="15" customWidth="1"/>
    <col min="6" max="6" width="18.5703125" style="15" customWidth="1"/>
    <col min="7" max="16384" width="9.140625" style="13"/>
  </cols>
  <sheetData>
    <row r="1" spans="1:16" x14ac:dyDescent="0.25">
      <c r="A1" s="12"/>
      <c r="E1" s="13"/>
      <c r="F1" s="14" t="s">
        <v>34</v>
      </c>
    </row>
    <row r="2" spans="1:16" x14ac:dyDescent="0.25">
      <c r="A2" s="12"/>
      <c r="E2" s="13"/>
      <c r="F2" s="14" t="s">
        <v>35</v>
      </c>
    </row>
    <row r="3" spans="1:16" x14ac:dyDescent="0.25">
      <c r="A3" s="12"/>
      <c r="E3" s="13"/>
      <c r="F3" s="14"/>
    </row>
    <row r="4" spans="1:16" x14ac:dyDescent="0.25">
      <c r="A4" s="12"/>
      <c r="E4" s="109" t="s">
        <v>103</v>
      </c>
      <c r="F4" s="14"/>
    </row>
    <row r="6" spans="1:16" x14ac:dyDescent="0.25">
      <c r="A6" s="208" t="s">
        <v>36</v>
      </c>
      <c r="B6" s="208"/>
      <c r="C6" s="208"/>
      <c r="D6" s="208"/>
      <c r="E6" s="208"/>
      <c r="F6" s="208"/>
    </row>
    <row r="7" spans="1:16" x14ac:dyDescent="0.25">
      <c r="A7" s="208" t="s">
        <v>37</v>
      </c>
      <c r="B7" s="208"/>
      <c r="C7" s="208"/>
      <c r="D7" s="208"/>
      <c r="E7" s="208"/>
      <c r="F7" s="208"/>
    </row>
    <row r="8" spans="1:16" x14ac:dyDescent="0.25">
      <c r="A8" s="209" t="s">
        <v>289</v>
      </c>
      <c r="B8" s="209"/>
      <c r="C8" s="209"/>
      <c r="D8" s="209"/>
      <c r="E8" s="209"/>
      <c r="F8" s="209"/>
      <c r="G8" s="110"/>
      <c r="H8" s="110"/>
      <c r="I8" s="110"/>
      <c r="J8" s="110"/>
      <c r="K8" s="110"/>
      <c r="L8" s="110"/>
      <c r="M8" s="110"/>
      <c r="N8" s="110"/>
      <c r="O8" s="110"/>
      <c r="P8" s="110"/>
    </row>
    <row r="9" spans="1:16" x14ac:dyDescent="0.25">
      <c r="A9" s="99"/>
      <c r="B9" s="99"/>
      <c r="C9" s="99"/>
      <c r="D9" s="99"/>
      <c r="E9" s="99"/>
      <c r="F9" s="99"/>
      <c r="G9" s="110"/>
      <c r="H9" s="110"/>
      <c r="I9" s="110"/>
      <c r="J9" s="110"/>
      <c r="K9" s="110"/>
      <c r="L9" s="110"/>
      <c r="M9" s="110"/>
      <c r="N9" s="110"/>
      <c r="O9" s="110"/>
      <c r="P9" s="110"/>
    </row>
    <row r="10" spans="1:16" s="111" customFormat="1" ht="15" x14ac:dyDescent="0.25">
      <c r="A10" s="12" t="s">
        <v>290</v>
      </c>
      <c r="B10" s="99"/>
      <c r="C10" s="99"/>
      <c r="D10" s="99"/>
      <c r="E10" s="99"/>
      <c r="F10" s="99"/>
      <c r="G10" s="110"/>
      <c r="H10" s="110"/>
      <c r="I10" s="110"/>
      <c r="J10" s="110"/>
      <c r="K10" s="110"/>
      <c r="L10" s="110"/>
      <c r="M10" s="110"/>
      <c r="N10" s="110"/>
      <c r="O10" s="110"/>
      <c r="P10" s="110"/>
    </row>
    <row r="11" spans="1:16" s="111" customFormat="1" ht="15" x14ac:dyDescent="0.25">
      <c r="A11" s="213" t="s">
        <v>38</v>
      </c>
      <c r="B11" s="213"/>
      <c r="C11" s="213"/>
      <c r="D11" s="213"/>
      <c r="E11" s="213"/>
      <c r="F11" s="213"/>
    </row>
    <row r="12" spans="1:16" s="111" customFormat="1" ht="15" x14ac:dyDescent="0.25">
      <c r="B12" s="214" t="s">
        <v>285</v>
      </c>
      <c r="C12" s="214"/>
      <c r="D12" s="112"/>
      <c r="E12" s="113"/>
      <c r="F12" s="114"/>
    </row>
    <row r="13" spans="1:16" s="111" customFormat="1" ht="15" x14ac:dyDescent="0.25">
      <c r="B13" s="214" t="s">
        <v>288</v>
      </c>
      <c r="C13" s="214"/>
      <c r="D13" s="112"/>
      <c r="E13" s="113"/>
      <c r="F13" s="114"/>
    </row>
    <row r="14" spans="1:16" s="111" customFormat="1" ht="15" x14ac:dyDescent="0.25">
      <c r="B14" s="215" t="s">
        <v>282</v>
      </c>
      <c r="C14" s="215"/>
      <c r="D14" s="115"/>
      <c r="E14" s="114"/>
      <c r="F14" s="114"/>
    </row>
    <row r="15" spans="1:16" s="111" customFormat="1" ht="15" x14ac:dyDescent="0.25">
      <c r="E15" s="114"/>
      <c r="F15" s="114"/>
    </row>
    <row r="16" spans="1:16" s="116" customFormat="1" ht="36" customHeight="1" x14ac:dyDescent="0.25">
      <c r="A16" s="216" t="s">
        <v>0</v>
      </c>
      <c r="B16" s="216" t="s">
        <v>39</v>
      </c>
      <c r="C16" s="216" t="s">
        <v>40</v>
      </c>
      <c r="D16" s="216" t="s">
        <v>1</v>
      </c>
      <c r="E16" s="212" t="s">
        <v>41</v>
      </c>
      <c r="F16" s="212" t="s">
        <v>271</v>
      </c>
    </row>
    <row r="17" spans="1:6" s="116" customFormat="1" ht="15" x14ac:dyDescent="0.25">
      <c r="A17" s="216"/>
      <c r="B17" s="216"/>
      <c r="C17" s="216"/>
      <c r="D17" s="216"/>
      <c r="E17" s="212"/>
      <c r="F17" s="212"/>
    </row>
    <row r="18" spans="1:6" s="116" customFormat="1" ht="15" x14ac:dyDescent="0.25">
      <c r="A18" s="216"/>
      <c r="B18" s="216"/>
      <c r="C18" s="216"/>
      <c r="D18" s="216"/>
      <c r="E18" s="212"/>
      <c r="F18" s="212"/>
    </row>
    <row r="19" spans="1:6" s="116" customFormat="1" ht="15" x14ac:dyDescent="0.25">
      <c r="A19" s="117">
        <v>1</v>
      </c>
      <c r="B19" s="117">
        <v>2</v>
      </c>
      <c r="C19" s="117">
        <v>3</v>
      </c>
      <c r="D19" s="117">
        <v>4</v>
      </c>
      <c r="E19" s="117">
        <v>6</v>
      </c>
      <c r="F19" s="117">
        <v>10</v>
      </c>
    </row>
    <row r="20" spans="1:6" s="116" customFormat="1" ht="15" x14ac:dyDescent="0.25">
      <c r="A20" s="117">
        <v>1</v>
      </c>
      <c r="B20" s="118" t="s">
        <v>42</v>
      </c>
      <c r="C20" s="119" t="s">
        <v>138</v>
      </c>
      <c r="D20" s="120" t="s">
        <v>30</v>
      </c>
      <c r="E20" s="121">
        <v>382490</v>
      </c>
      <c r="F20" s="122">
        <f>E20*1.2</f>
        <v>458988</v>
      </c>
    </row>
    <row r="21" spans="1:6" s="116" customFormat="1" ht="15" x14ac:dyDescent="0.25">
      <c r="A21" s="117">
        <v>2</v>
      </c>
      <c r="B21" s="118" t="s">
        <v>43</v>
      </c>
      <c r="C21" s="119" t="s">
        <v>139</v>
      </c>
      <c r="D21" s="120" t="s">
        <v>30</v>
      </c>
      <c r="E21" s="121">
        <v>392838</v>
      </c>
      <c r="F21" s="122">
        <f t="shared" ref="F21:F26" si="0">E21*1.2</f>
        <v>471405.6</v>
      </c>
    </row>
    <row r="22" spans="1:6" s="123" customFormat="1" ht="15" x14ac:dyDescent="0.25">
      <c r="A22" s="117">
        <v>3</v>
      </c>
      <c r="B22" s="118" t="s">
        <v>44</v>
      </c>
      <c r="C22" s="119" t="s">
        <v>140</v>
      </c>
      <c r="D22" s="120" t="s">
        <v>30</v>
      </c>
      <c r="E22" s="121">
        <v>421385</v>
      </c>
      <c r="F22" s="122">
        <f t="shared" si="0"/>
        <v>505662</v>
      </c>
    </row>
    <row r="23" spans="1:6" s="123" customFormat="1" ht="15" x14ac:dyDescent="0.25">
      <c r="A23" s="117">
        <v>4</v>
      </c>
      <c r="B23" s="118" t="s">
        <v>135</v>
      </c>
      <c r="C23" s="119" t="s">
        <v>141</v>
      </c>
      <c r="D23" s="120" t="s">
        <v>30</v>
      </c>
      <c r="E23" s="121">
        <v>484391</v>
      </c>
      <c r="F23" s="122">
        <f t="shared" si="0"/>
        <v>581269.19999999995</v>
      </c>
    </row>
    <row r="24" spans="1:6" s="123" customFormat="1" ht="15" x14ac:dyDescent="0.25">
      <c r="A24" s="117">
        <v>5</v>
      </c>
      <c r="B24" s="118" t="s">
        <v>136</v>
      </c>
      <c r="C24" s="119" t="s">
        <v>142</v>
      </c>
      <c r="D24" s="120" t="s">
        <v>30</v>
      </c>
      <c r="E24" s="121">
        <v>588934</v>
      </c>
      <c r="F24" s="122">
        <f t="shared" si="0"/>
        <v>706720.79999999993</v>
      </c>
    </row>
    <row r="25" spans="1:6" s="123" customFormat="1" ht="15" x14ac:dyDescent="0.25">
      <c r="A25" s="117">
        <v>6</v>
      </c>
      <c r="B25" s="118" t="s">
        <v>137</v>
      </c>
      <c r="C25" s="119" t="s">
        <v>143</v>
      </c>
      <c r="D25" s="120" t="s">
        <v>30</v>
      </c>
      <c r="E25" s="121">
        <v>916063</v>
      </c>
      <c r="F25" s="122">
        <f t="shared" si="0"/>
        <v>1099275.5999999999</v>
      </c>
    </row>
    <row r="26" spans="1:6" s="123" customFormat="1" ht="15" x14ac:dyDescent="0.25">
      <c r="A26" s="117">
        <v>7</v>
      </c>
      <c r="B26" s="118" t="s">
        <v>273</v>
      </c>
      <c r="C26" s="119" t="s">
        <v>144</v>
      </c>
      <c r="D26" s="120" t="s">
        <v>30</v>
      </c>
      <c r="E26" s="121">
        <v>992046</v>
      </c>
      <c r="F26" s="122">
        <f t="shared" si="0"/>
        <v>1190455.2</v>
      </c>
    </row>
    <row r="27" spans="1:6" s="123" customFormat="1" ht="15" x14ac:dyDescent="0.25">
      <c r="A27" s="124"/>
      <c r="B27" s="125"/>
      <c r="C27" s="125"/>
      <c r="D27" s="126"/>
      <c r="E27" s="127"/>
      <c r="F27" s="127"/>
    </row>
    <row r="28" spans="1:6" s="123" customFormat="1" ht="15" x14ac:dyDescent="0.25">
      <c r="A28" s="124"/>
      <c r="B28" s="125"/>
      <c r="C28" s="125"/>
      <c r="D28" s="126"/>
      <c r="E28" s="127"/>
      <c r="F28" s="127"/>
    </row>
    <row r="29" spans="1:6" s="111" customFormat="1" ht="15" x14ac:dyDescent="0.25">
      <c r="E29" s="114"/>
      <c r="F29" s="114"/>
    </row>
    <row r="30" spans="1:6" s="111" customFormat="1" ht="15" x14ac:dyDescent="0.25">
      <c r="C30" s="128" t="s">
        <v>31</v>
      </c>
      <c r="E30" s="114"/>
      <c r="F30" s="114"/>
    </row>
    <row r="31" spans="1:6" s="111" customFormat="1" ht="15" x14ac:dyDescent="0.25">
      <c r="C31" s="210" t="s">
        <v>32</v>
      </c>
      <c r="D31" s="210"/>
      <c r="E31" s="210"/>
      <c r="F31" s="114"/>
    </row>
    <row r="32" spans="1:6" s="111" customFormat="1" ht="15" x14ac:dyDescent="0.25">
      <c r="C32" s="128" t="s">
        <v>133</v>
      </c>
      <c r="D32" s="211" t="s">
        <v>134</v>
      </c>
      <c r="E32" s="211"/>
      <c r="F32" s="114"/>
    </row>
    <row r="33" spans="3:6" s="111" customFormat="1" ht="15" x14ac:dyDescent="0.25">
      <c r="C33" s="210" t="s">
        <v>32</v>
      </c>
      <c r="D33" s="210"/>
      <c r="E33" s="210"/>
      <c r="F33" s="114"/>
    </row>
    <row r="34" spans="3:6" s="111" customFormat="1" ht="15" x14ac:dyDescent="0.25">
      <c r="E34" s="114"/>
      <c r="F34" s="114"/>
    </row>
    <row r="35" spans="3:6" s="111" customFormat="1" ht="15" x14ac:dyDescent="0.25">
      <c r="E35" s="114"/>
      <c r="F35" s="114"/>
    </row>
    <row r="36" spans="3:6" ht="17.25" x14ac:dyDescent="0.3">
      <c r="C36" s="4"/>
    </row>
    <row r="41" spans="3:6" ht="9.75" customHeight="1" x14ac:dyDescent="0.25">
      <c r="E41" s="15" t="s">
        <v>128</v>
      </c>
    </row>
    <row r="42" spans="3:6" x14ac:dyDescent="0.25">
      <c r="C42" s="5"/>
    </row>
    <row r="43" spans="3:6" x14ac:dyDescent="0.25">
      <c r="C43" s="5"/>
    </row>
  </sheetData>
  <mergeCells count="16">
    <mergeCell ref="C33:E33"/>
    <mergeCell ref="A16:A18"/>
    <mergeCell ref="B16:B18"/>
    <mergeCell ref="C16:C18"/>
    <mergeCell ref="D16:D18"/>
    <mergeCell ref="E16:E18"/>
    <mergeCell ref="A6:F6"/>
    <mergeCell ref="A7:F7"/>
    <mergeCell ref="A8:F8"/>
    <mergeCell ref="C31:E31"/>
    <mergeCell ref="D32:E32"/>
    <mergeCell ref="F16:F18"/>
    <mergeCell ref="A11:F11"/>
    <mergeCell ref="B12:C12"/>
    <mergeCell ref="B13:C13"/>
    <mergeCell ref="B14:C14"/>
  </mergeCells>
  <pageMargins left="0.23" right="0.27" top="0.43307086614173229" bottom="0.31496062992125984" header="0.19685039370078741" footer="0.19685039370078741"/>
  <pageSetup paperSize="9" scale="84" fitToHeight="5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U168"/>
  <sheetViews>
    <sheetView view="pageBreakPreview" topLeftCell="A75" zoomScale="85" zoomScaleNormal="40" zoomScaleSheetLayoutView="85" zoomScalePageLayoutView="55" workbookViewId="0">
      <selection activeCell="J95" sqref="J95:J96"/>
    </sheetView>
  </sheetViews>
  <sheetFormatPr defaultRowHeight="15" x14ac:dyDescent="0.25"/>
  <cols>
    <col min="1" max="1" width="6.7109375" style="12" customWidth="1"/>
    <col min="2" max="2" width="22.85546875" style="16" customWidth="1"/>
    <col min="3" max="5" width="9.140625" style="16"/>
    <col min="6" max="6" width="6.5703125" style="16" customWidth="1"/>
    <col min="7" max="7" width="10.42578125" style="12" customWidth="1"/>
    <col min="8" max="8" width="11.7109375" style="12" customWidth="1"/>
    <col min="9" max="9" width="11.5703125" style="55" customWidth="1"/>
    <col min="10" max="10" width="12.140625" style="12" customWidth="1"/>
    <col min="11" max="11" width="9.140625" style="12"/>
    <col min="12" max="12" width="13" style="12" customWidth="1"/>
    <col min="13" max="13" width="14.140625" style="12" customWidth="1"/>
    <col min="14" max="14" width="18.42578125" style="12" customWidth="1"/>
    <col min="15" max="15" width="9.140625" style="12"/>
    <col min="16" max="16" width="11.140625" style="12" bestFit="1" customWidth="1"/>
    <col min="17" max="16384" width="9.140625" style="12"/>
  </cols>
  <sheetData>
    <row r="1" spans="1:14" x14ac:dyDescent="0.25">
      <c r="M1" s="17" t="s">
        <v>45</v>
      </c>
    </row>
    <row r="2" spans="1:14" x14ac:dyDescent="0.25">
      <c r="M2" s="17" t="s">
        <v>46</v>
      </c>
    </row>
    <row r="3" spans="1:14" x14ac:dyDescent="0.25">
      <c r="M3" s="17"/>
    </row>
    <row r="5" spans="1:14" x14ac:dyDescent="0.25">
      <c r="L5" s="19" t="s">
        <v>103</v>
      </c>
    </row>
    <row r="6" spans="1:14" x14ac:dyDescent="0.25">
      <c r="A6" s="227" t="s">
        <v>36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20"/>
    </row>
    <row r="7" spans="1:14" x14ac:dyDescent="0.25">
      <c r="A7" s="227" t="s">
        <v>37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</row>
    <row r="8" spans="1:14" x14ac:dyDescent="0.25">
      <c r="A8" s="228" t="s">
        <v>275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</row>
    <row r="10" spans="1:14" x14ac:dyDescent="0.25">
      <c r="A10" s="12" t="s">
        <v>274</v>
      </c>
    </row>
    <row r="11" spans="1:14" x14ac:dyDescent="0.25">
      <c r="A11" s="12" t="s">
        <v>48</v>
      </c>
      <c r="L11" s="91"/>
    </row>
    <row r="12" spans="1:14" ht="15.75" thickBot="1" x14ac:dyDescent="0.3"/>
    <row r="13" spans="1:14" x14ac:dyDescent="0.25">
      <c r="A13" s="229" t="s">
        <v>49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</row>
    <row r="14" spans="1:14" x14ac:dyDescent="0.25">
      <c r="A14" s="231" t="s">
        <v>107</v>
      </c>
      <c r="B14" s="232"/>
      <c r="C14" s="232"/>
      <c r="D14" s="232"/>
      <c r="E14" s="232"/>
      <c r="F14" s="232"/>
      <c r="G14" s="232"/>
      <c r="H14" s="232" t="s">
        <v>50</v>
      </c>
      <c r="I14" s="232"/>
      <c r="J14" s="232"/>
      <c r="K14" s="232"/>
      <c r="L14" s="232"/>
      <c r="M14" s="232"/>
    </row>
    <row r="15" spans="1:14" x14ac:dyDescent="0.25">
      <c r="A15" s="231" t="s">
        <v>287</v>
      </c>
      <c r="B15" s="232"/>
      <c r="C15" s="232"/>
      <c r="D15" s="232"/>
      <c r="E15" s="232"/>
      <c r="F15" s="232"/>
      <c r="G15" s="232"/>
      <c r="H15" s="232" t="s">
        <v>286</v>
      </c>
      <c r="I15" s="232"/>
      <c r="J15" s="232"/>
      <c r="K15" s="232"/>
      <c r="L15" s="232"/>
      <c r="M15" s="232"/>
    </row>
    <row r="16" spans="1:14" x14ac:dyDescent="0.25">
      <c r="A16" s="217" t="s">
        <v>285</v>
      </c>
      <c r="B16" s="218"/>
      <c r="C16" s="218"/>
      <c r="D16" s="218"/>
      <c r="E16" s="218"/>
      <c r="F16" s="218"/>
      <c r="G16" s="219"/>
      <c r="H16" s="217" t="s">
        <v>285</v>
      </c>
      <c r="I16" s="218"/>
      <c r="J16" s="218"/>
      <c r="K16" s="218"/>
      <c r="L16" s="218"/>
      <c r="M16" s="218"/>
    </row>
    <row r="17" spans="1:13" x14ac:dyDescent="0.25">
      <c r="A17" s="220" t="s">
        <v>288</v>
      </c>
      <c r="B17" s="221"/>
      <c r="C17" s="221"/>
      <c r="D17" s="221"/>
      <c r="E17" s="221"/>
      <c r="F17" s="221"/>
      <c r="G17" s="222"/>
      <c r="H17" s="218" t="s">
        <v>282</v>
      </c>
      <c r="I17" s="218"/>
      <c r="J17" s="218"/>
      <c r="K17" s="218"/>
      <c r="L17" s="218"/>
      <c r="M17" s="218"/>
    </row>
    <row r="18" spans="1:13" ht="15.75" thickBot="1" x14ac:dyDescent="0.3">
      <c r="A18" s="223" t="s">
        <v>282</v>
      </c>
      <c r="B18" s="224"/>
      <c r="C18" s="224"/>
      <c r="D18" s="224"/>
      <c r="E18" s="224"/>
      <c r="F18" s="224"/>
      <c r="G18" s="224"/>
      <c r="H18" s="225"/>
      <c r="I18" s="226"/>
      <c r="J18" s="226"/>
      <c r="K18" s="226"/>
      <c r="L18" s="226"/>
      <c r="M18" s="226"/>
    </row>
    <row r="21" spans="1:13" s="22" customFormat="1" ht="45" x14ac:dyDescent="0.25">
      <c r="A21" s="21" t="s">
        <v>51</v>
      </c>
      <c r="B21" s="21" t="s">
        <v>52</v>
      </c>
      <c r="C21" s="234" t="s">
        <v>53</v>
      </c>
      <c r="D21" s="234"/>
      <c r="E21" s="234"/>
      <c r="F21" s="234"/>
      <c r="G21" s="21" t="s">
        <v>54</v>
      </c>
      <c r="H21" s="21" t="s">
        <v>55</v>
      </c>
      <c r="I21" s="58" t="s">
        <v>56</v>
      </c>
      <c r="J21" s="21" t="s">
        <v>57</v>
      </c>
      <c r="K21" s="21" t="s">
        <v>58</v>
      </c>
      <c r="L21" s="21" t="s">
        <v>59</v>
      </c>
      <c r="M21" s="21" t="s">
        <v>276</v>
      </c>
    </row>
    <row r="22" spans="1:13" ht="22.5" customHeight="1" x14ac:dyDescent="0.25">
      <c r="A22" s="23">
        <v>1</v>
      </c>
      <c r="B22" s="39">
        <v>2</v>
      </c>
      <c r="C22" s="232">
        <v>3</v>
      </c>
      <c r="D22" s="232"/>
      <c r="E22" s="232"/>
      <c r="F22" s="232"/>
      <c r="G22" s="39">
        <v>4</v>
      </c>
      <c r="H22" s="23">
        <v>5</v>
      </c>
      <c r="I22" s="59">
        <v>6</v>
      </c>
      <c r="J22" s="23">
        <v>7</v>
      </c>
      <c r="K22" s="23">
        <v>8</v>
      </c>
      <c r="L22" s="23">
        <v>9</v>
      </c>
      <c r="M22" s="23">
        <v>10</v>
      </c>
    </row>
    <row r="23" spans="1:13" x14ac:dyDescent="0.25">
      <c r="A23" s="24">
        <v>1</v>
      </c>
      <c r="B23" s="83" t="s">
        <v>145</v>
      </c>
      <c r="C23" s="233" t="s">
        <v>60</v>
      </c>
      <c r="D23" s="233"/>
      <c r="E23" s="233"/>
      <c r="F23" s="233"/>
      <c r="G23" s="67" t="s">
        <v>180</v>
      </c>
      <c r="H23" s="68">
        <v>1</v>
      </c>
      <c r="I23" s="69">
        <v>408</v>
      </c>
      <c r="J23" s="70">
        <f>H23*I23</f>
        <v>408</v>
      </c>
      <c r="K23" s="71">
        <f>1.06225*1.034965*1.015</f>
        <v>1.1158824448187497</v>
      </c>
      <c r="L23" s="70">
        <f>J23*K23</f>
        <v>455.28003748604988</v>
      </c>
      <c r="M23" s="70">
        <f>L23*1.2</f>
        <v>546.33604498325985</v>
      </c>
    </row>
    <row r="24" spans="1:13" ht="48.75" customHeight="1" x14ac:dyDescent="0.25">
      <c r="A24" s="24">
        <v>2</v>
      </c>
      <c r="B24" s="83" t="s">
        <v>146</v>
      </c>
      <c r="C24" s="233" t="s">
        <v>61</v>
      </c>
      <c r="D24" s="233"/>
      <c r="E24" s="233"/>
      <c r="F24" s="233"/>
      <c r="G24" s="67" t="s">
        <v>180</v>
      </c>
      <c r="H24" s="68">
        <v>1</v>
      </c>
      <c r="I24" s="69">
        <v>978</v>
      </c>
      <c r="J24" s="70">
        <f t="shared" ref="J24:J87" si="0">H24*I24</f>
        <v>978</v>
      </c>
      <c r="K24" s="71">
        <f t="shared" ref="K24:K87" si="1">1.06225*1.034965*1.015</f>
        <v>1.1158824448187497</v>
      </c>
      <c r="L24" s="70">
        <f t="shared" ref="L24:L87" si="2">J24*K24</f>
        <v>1091.3330310327372</v>
      </c>
      <c r="M24" s="70">
        <f t="shared" ref="M24:M87" si="3">L24*1.2</f>
        <v>1309.5996372392844</v>
      </c>
    </row>
    <row r="25" spans="1:13" ht="60.75" customHeight="1" x14ac:dyDescent="0.25">
      <c r="A25" s="24">
        <v>3</v>
      </c>
      <c r="B25" s="83" t="s">
        <v>147</v>
      </c>
      <c r="C25" s="233" t="s">
        <v>62</v>
      </c>
      <c r="D25" s="233"/>
      <c r="E25" s="233"/>
      <c r="F25" s="233"/>
      <c r="G25" s="67" t="s">
        <v>180</v>
      </c>
      <c r="H25" s="68">
        <v>1</v>
      </c>
      <c r="I25" s="69">
        <v>334</v>
      </c>
      <c r="J25" s="70">
        <f t="shared" si="0"/>
        <v>334</v>
      </c>
      <c r="K25" s="71">
        <f t="shared" si="1"/>
        <v>1.1158824448187497</v>
      </c>
      <c r="L25" s="70">
        <f t="shared" si="2"/>
        <v>372.7047365694624</v>
      </c>
      <c r="M25" s="70">
        <f t="shared" si="3"/>
        <v>447.24568388335484</v>
      </c>
    </row>
    <row r="26" spans="1:13" ht="48.75" customHeight="1" x14ac:dyDescent="0.25">
      <c r="A26" s="24">
        <v>4</v>
      </c>
      <c r="B26" s="83" t="s">
        <v>148</v>
      </c>
      <c r="C26" s="233" t="s">
        <v>63</v>
      </c>
      <c r="D26" s="233"/>
      <c r="E26" s="233"/>
      <c r="F26" s="233"/>
      <c r="G26" s="67" t="s">
        <v>180</v>
      </c>
      <c r="H26" s="68">
        <v>1</v>
      </c>
      <c r="I26" s="69">
        <v>391</v>
      </c>
      <c r="J26" s="70">
        <f t="shared" si="0"/>
        <v>391</v>
      </c>
      <c r="K26" s="71">
        <f t="shared" si="1"/>
        <v>1.1158824448187497</v>
      </c>
      <c r="L26" s="70">
        <f t="shared" si="2"/>
        <v>436.31003592413111</v>
      </c>
      <c r="M26" s="70">
        <f t="shared" si="3"/>
        <v>523.57204310895736</v>
      </c>
    </row>
    <row r="27" spans="1:13" ht="48" customHeight="1" x14ac:dyDescent="0.25">
      <c r="A27" s="24">
        <v>5</v>
      </c>
      <c r="B27" s="83" t="s">
        <v>149</v>
      </c>
      <c r="C27" s="233" t="s">
        <v>64</v>
      </c>
      <c r="D27" s="233"/>
      <c r="E27" s="233"/>
      <c r="F27" s="233"/>
      <c r="G27" s="67" t="s">
        <v>180</v>
      </c>
      <c r="H27" s="68">
        <v>1</v>
      </c>
      <c r="I27" s="69">
        <v>4134</v>
      </c>
      <c r="J27" s="70">
        <f t="shared" si="0"/>
        <v>4134</v>
      </c>
      <c r="K27" s="71">
        <f t="shared" si="1"/>
        <v>1.1158824448187497</v>
      </c>
      <c r="L27" s="70">
        <f t="shared" si="2"/>
        <v>4613.0580268807107</v>
      </c>
      <c r="M27" s="70">
        <f t="shared" si="3"/>
        <v>5535.6696322568523</v>
      </c>
    </row>
    <row r="28" spans="1:13" ht="64.5" customHeight="1" x14ac:dyDescent="0.25">
      <c r="A28" s="24">
        <v>6</v>
      </c>
      <c r="B28" s="83" t="s">
        <v>150</v>
      </c>
      <c r="C28" s="233" t="s">
        <v>65</v>
      </c>
      <c r="D28" s="233"/>
      <c r="E28" s="233"/>
      <c r="F28" s="233"/>
      <c r="G28" s="67" t="s">
        <v>180</v>
      </c>
      <c r="H28" s="68">
        <v>1</v>
      </c>
      <c r="I28" s="69">
        <v>8658</v>
      </c>
      <c r="J28" s="70">
        <f t="shared" si="0"/>
        <v>8658</v>
      </c>
      <c r="K28" s="71">
        <f t="shared" si="1"/>
        <v>1.1158824448187497</v>
      </c>
      <c r="L28" s="70">
        <f t="shared" si="2"/>
        <v>9661.3102072407346</v>
      </c>
      <c r="M28" s="70">
        <f t="shared" si="3"/>
        <v>11593.572248688881</v>
      </c>
    </row>
    <row r="29" spans="1:13" ht="59.25" customHeight="1" x14ac:dyDescent="0.25">
      <c r="A29" s="24">
        <v>7</v>
      </c>
      <c r="B29" s="83" t="s">
        <v>151</v>
      </c>
      <c r="C29" s="233" t="s">
        <v>66</v>
      </c>
      <c r="D29" s="233"/>
      <c r="E29" s="233"/>
      <c r="F29" s="233"/>
      <c r="G29" s="67" t="s">
        <v>180</v>
      </c>
      <c r="H29" s="68">
        <v>1</v>
      </c>
      <c r="I29" s="69">
        <v>13367</v>
      </c>
      <c r="J29" s="70">
        <f t="shared" si="0"/>
        <v>13367</v>
      </c>
      <c r="K29" s="71">
        <f t="shared" si="1"/>
        <v>1.1158824448187497</v>
      </c>
      <c r="L29" s="70">
        <f t="shared" si="2"/>
        <v>14916.000639892227</v>
      </c>
      <c r="M29" s="70">
        <f t="shared" si="3"/>
        <v>17899.200767870672</v>
      </c>
    </row>
    <row r="30" spans="1:13" ht="30" customHeight="1" x14ac:dyDescent="0.25">
      <c r="A30" s="24">
        <v>8</v>
      </c>
      <c r="B30" s="83" t="s">
        <v>152</v>
      </c>
      <c r="C30" s="233" t="s">
        <v>67</v>
      </c>
      <c r="D30" s="233"/>
      <c r="E30" s="233"/>
      <c r="F30" s="233"/>
      <c r="G30" s="56" t="s">
        <v>171</v>
      </c>
      <c r="H30" s="68">
        <v>1</v>
      </c>
      <c r="I30" s="69">
        <v>5651</v>
      </c>
      <c r="J30" s="70">
        <f t="shared" si="0"/>
        <v>5651</v>
      </c>
      <c r="K30" s="71">
        <f t="shared" si="1"/>
        <v>1.1158824448187497</v>
      </c>
      <c r="L30" s="70">
        <f t="shared" si="2"/>
        <v>6305.8516956707545</v>
      </c>
      <c r="M30" s="70">
        <f t="shared" si="3"/>
        <v>7567.0220348049052</v>
      </c>
    </row>
    <row r="31" spans="1:13" ht="47.25" customHeight="1" x14ac:dyDescent="0.25">
      <c r="A31" s="24">
        <v>9</v>
      </c>
      <c r="B31" s="83" t="s">
        <v>153</v>
      </c>
      <c r="C31" s="233" t="s">
        <v>16</v>
      </c>
      <c r="D31" s="233"/>
      <c r="E31" s="233"/>
      <c r="F31" s="233"/>
      <c r="G31" s="21" t="s">
        <v>172</v>
      </c>
      <c r="H31" s="72">
        <v>0.08</v>
      </c>
      <c r="I31" s="69">
        <f>998/H31</f>
        <v>12475</v>
      </c>
      <c r="J31" s="70">
        <f t="shared" si="0"/>
        <v>998</v>
      </c>
      <c r="K31" s="71">
        <f t="shared" si="1"/>
        <v>1.1158824448187497</v>
      </c>
      <c r="L31" s="70">
        <f t="shared" si="2"/>
        <v>1113.6506799291121</v>
      </c>
      <c r="M31" s="70">
        <f t="shared" si="3"/>
        <v>1336.3808159149346</v>
      </c>
    </row>
    <row r="32" spans="1:13" ht="44.25" customHeight="1" x14ac:dyDescent="0.25">
      <c r="A32" s="24">
        <v>10</v>
      </c>
      <c r="B32" s="83" t="s">
        <v>168</v>
      </c>
      <c r="C32" s="233" t="s">
        <v>183</v>
      </c>
      <c r="D32" s="233"/>
      <c r="E32" s="233"/>
      <c r="F32" s="233"/>
      <c r="G32" s="21" t="s">
        <v>174</v>
      </c>
      <c r="H32" s="72">
        <v>4.9280000000000001E-3</v>
      </c>
      <c r="I32" s="69">
        <f>188/H32</f>
        <v>38149.35064935065</v>
      </c>
      <c r="J32" s="70">
        <f t="shared" si="0"/>
        <v>188</v>
      </c>
      <c r="K32" s="71">
        <f t="shared" si="1"/>
        <v>1.1158824448187497</v>
      </c>
      <c r="L32" s="70">
        <f t="shared" si="2"/>
        <v>209.78589962592494</v>
      </c>
      <c r="M32" s="70">
        <f t="shared" si="3"/>
        <v>251.74307955110993</v>
      </c>
    </row>
    <row r="33" spans="1:14" s="28" customFormat="1" ht="31.5" customHeight="1" x14ac:dyDescent="0.25">
      <c r="A33" s="26">
        <v>11</v>
      </c>
      <c r="B33" s="83" t="s">
        <v>154</v>
      </c>
      <c r="C33" s="233" t="s">
        <v>277</v>
      </c>
      <c r="D33" s="233"/>
      <c r="E33" s="233"/>
      <c r="F33" s="233"/>
      <c r="G33" s="21" t="s">
        <v>172</v>
      </c>
      <c r="H33" s="72">
        <v>0.04</v>
      </c>
      <c r="I33" s="69">
        <f>419/H33</f>
        <v>10475</v>
      </c>
      <c r="J33" s="70">
        <f t="shared" si="0"/>
        <v>419</v>
      </c>
      <c r="K33" s="71">
        <f t="shared" si="1"/>
        <v>1.1158824448187497</v>
      </c>
      <c r="L33" s="70">
        <f t="shared" si="2"/>
        <v>467.5547443790561</v>
      </c>
      <c r="M33" s="70">
        <f t="shared" si="3"/>
        <v>561.06569325486726</v>
      </c>
    </row>
    <row r="34" spans="1:14" s="53" customFormat="1" ht="22.5" customHeight="1" x14ac:dyDescent="0.25">
      <c r="A34" s="52">
        <v>12</v>
      </c>
      <c r="B34" s="84" t="s">
        <v>169</v>
      </c>
      <c r="C34" s="235" t="s">
        <v>182</v>
      </c>
      <c r="D34" s="235"/>
      <c r="E34" s="235"/>
      <c r="F34" s="235"/>
      <c r="G34" s="62" t="s">
        <v>174</v>
      </c>
      <c r="H34" s="72">
        <v>5.0400000000000002E-3</v>
      </c>
      <c r="I34" s="73">
        <f>249/H34</f>
        <v>49404.761904761901</v>
      </c>
      <c r="J34" s="70">
        <f t="shared" si="0"/>
        <v>249</v>
      </c>
      <c r="K34" s="71">
        <f t="shared" si="1"/>
        <v>1.1158824448187497</v>
      </c>
      <c r="L34" s="70">
        <f t="shared" si="2"/>
        <v>277.85472875986864</v>
      </c>
      <c r="M34" s="70">
        <f t="shared" si="3"/>
        <v>333.42567451184237</v>
      </c>
    </row>
    <row r="35" spans="1:14" ht="29.25" customHeight="1" x14ac:dyDescent="0.25">
      <c r="A35" s="24">
        <v>13</v>
      </c>
      <c r="B35" s="85" t="s">
        <v>155</v>
      </c>
      <c r="C35" s="236" t="s">
        <v>278</v>
      </c>
      <c r="D35" s="236"/>
      <c r="E35" s="236"/>
      <c r="F35" s="236"/>
      <c r="G35" s="74" t="s">
        <v>176</v>
      </c>
      <c r="H35" s="72">
        <v>0.3</v>
      </c>
      <c r="I35" s="69">
        <f>2009/H35</f>
        <v>6696.666666666667</v>
      </c>
      <c r="J35" s="70">
        <f t="shared" si="0"/>
        <v>2009</v>
      </c>
      <c r="K35" s="71">
        <f t="shared" si="1"/>
        <v>1.1158824448187497</v>
      </c>
      <c r="L35" s="70">
        <f t="shared" si="2"/>
        <v>2241.8078316408682</v>
      </c>
      <c r="M35" s="70">
        <f t="shared" si="3"/>
        <v>2690.1693979690417</v>
      </c>
    </row>
    <row r="36" spans="1:14" ht="54" customHeight="1" x14ac:dyDescent="0.25">
      <c r="A36" s="24">
        <v>14</v>
      </c>
      <c r="B36" s="83" t="s">
        <v>170</v>
      </c>
      <c r="C36" s="233" t="s">
        <v>181</v>
      </c>
      <c r="D36" s="233"/>
      <c r="E36" s="233"/>
      <c r="F36" s="233"/>
      <c r="G36" s="21" t="s">
        <v>174</v>
      </c>
      <c r="H36" s="72">
        <v>3.3930000000000002E-2</v>
      </c>
      <c r="I36" s="69">
        <f>1350/H36</f>
        <v>39787.798408488059</v>
      </c>
      <c r="J36" s="70">
        <f t="shared" si="0"/>
        <v>1350</v>
      </c>
      <c r="K36" s="71">
        <f t="shared" si="1"/>
        <v>1.1158824448187497</v>
      </c>
      <c r="L36" s="70">
        <f t="shared" si="2"/>
        <v>1506.441300505312</v>
      </c>
      <c r="M36" s="70">
        <f t="shared" si="3"/>
        <v>1807.7295606063744</v>
      </c>
    </row>
    <row r="37" spans="1:14" ht="43.5" customHeight="1" x14ac:dyDescent="0.25">
      <c r="A37" s="24">
        <v>15</v>
      </c>
      <c r="B37" s="83" t="s">
        <v>156</v>
      </c>
      <c r="C37" s="233" t="s">
        <v>68</v>
      </c>
      <c r="D37" s="233"/>
      <c r="E37" s="233"/>
      <c r="F37" s="233"/>
      <c r="G37" s="21" t="s">
        <v>177</v>
      </c>
      <c r="H37" s="68">
        <v>1</v>
      </c>
      <c r="I37" s="69">
        <v>851</v>
      </c>
      <c r="J37" s="70">
        <f t="shared" si="0"/>
        <v>851</v>
      </c>
      <c r="K37" s="108">
        <f>1.06225*1.015</f>
        <v>1.0781837499999998</v>
      </c>
      <c r="L37" s="70">
        <f t="shared" si="2"/>
        <v>917.53437124999982</v>
      </c>
      <c r="M37" s="70">
        <f t="shared" si="3"/>
        <v>1101.0412454999998</v>
      </c>
    </row>
    <row r="38" spans="1:14" ht="44.25" customHeight="1" x14ac:dyDescent="0.25">
      <c r="A38" s="24">
        <v>16</v>
      </c>
      <c r="B38" s="83" t="s">
        <v>157</v>
      </c>
      <c r="C38" s="233" t="s">
        <v>69</v>
      </c>
      <c r="D38" s="233"/>
      <c r="E38" s="233"/>
      <c r="F38" s="233"/>
      <c r="G38" s="21" t="s">
        <v>178</v>
      </c>
      <c r="H38" s="68">
        <v>0.01</v>
      </c>
      <c r="I38" s="69">
        <f>79/H38</f>
        <v>7900</v>
      </c>
      <c r="J38" s="70">
        <f t="shared" si="0"/>
        <v>79</v>
      </c>
      <c r="K38" s="71">
        <f t="shared" si="1"/>
        <v>1.1158824448187497</v>
      </c>
      <c r="L38" s="70">
        <f t="shared" si="2"/>
        <v>88.154713140681224</v>
      </c>
      <c r="M38" s="70">
        <f t="shared" si="3"/>
        <v>105.78565576881746</v>
      </c>
    </row>
    <row r="39" spans="1:14" ht="57" customHeight="1" x14ac:dyDescent="0.25">
      <c r="A39" s="24">
        <v>17</v>
      </c>
      <c r="B39" s="83" t="s">
        <v>158</v>
      </c>
      <c r="C39" s="233" t="s">
        <v>70</v>
      </c>
      <c r="D39" s="233"/>
      <c r="E39" s="233"/>
      <c r="F39" s="233"/>
      <c r="G39" s="21" t="s">
        <v>179</v>
      </c>
      <c r="H39" s="68">
        <v>1</v>
      </c>
      <c r="I39" s="69">
        <v>53918</v>
      </c>
      <c r="J39" s="70">
        <f t="shared" si="0"/>
        <v>53918</v>
      </c>
      <c r="K39" s="71">
        <f t="shared" si="1"/>
        <v>1.1158824448187497</v>
      </c>
      <c r="L39" s="70">
        <f t="shared" si="2"/>
        <v>60166.149659737341</v>
      </c>
      <c r="M39" s="70">
        <f t="shared" si="3"/>
        <v>72199.379591684803</v>
      </c>
    </row>
    <row r="40" spans="1:14" ht="27.75" customHeight="1" x14ac:dyDescent="0.25">
      <c r="A40" s="26">
        <v>18</v>
      </c>
      <c r="B40" s="83" t="s">
        <v>159</v>
      </c>
      <c r="C40" s="233" t="s">
        <v>71</v>
      </c>
      <c r="D40" s="233"/>
      <c r="E40" s="233"/>
      <c r="F40" s="233"/>
      <c r="G40" s="21" t="s">
        <v>180</v>
      </c>
      <c r="H40" s="68">
        <v>9</v>
      </c>
      <c r="I40" s="69">
        <f>37130/H40</f>
        <v>4125.5555555555557</v>
      </c>
      <c r="J40" s="70">
        <f t="shared" si="0"/>
        <v>37130</v>
      </c>
      <c r="K40" s="71">
        <f t="shared" si="1"/>
        <v>1.1158824448187497</v>
      </c>
      <c r="L40" s="70">
        <f t="shared" si="2"/>
        <v>41432.715176120175</v>
      </c>
      <c r="M40" s="70">
        <f t="shared" si="3"/>
        <v>49719.258211344211</v>
      </c>
    </row>
    <row r="41" spans="1:14" ht="33" customHeight="1" x14ac:dyDescent="0.25">
      <c r="A41" s="26">
        <v>19</v>
      </c>
      <c r="B41" s="83" t="s">
        <v>160</v>
      </c>
      <c r="C41" s="233" t="s">
        <v>72</v>
      </c>
      <c r="D41" s="233"/>
      <c r="E41" s="233"/>
      <c r="F41" s="233"/>
      <c r="G41" s="21" t="s">
        <v>171</v>
      </c>
      <c r="H41" s="68">
        <v>1</v>
      </c>
      <c r="I41" s="69">
        <v>3176</v>
      </c>
      <c r="J41" s="70">
        <f t="shared" si="0"/>
        <v>3176</v>
      </c>
      <c r="K41" s="71">
        <f t="shared" si="1"/>
        <v>1.1158824448187497</v>
      </c>
      <c r="L41" s="70">
        <f t="shared" si="2"/>
        <v>3544.0426447443488</v>
      </c>
      <c r="M41" s="70">
        <f t="shared" si="3"/>
        <v>4252.8511736932187</v>
      </c>
    </row>
    <row r="42" spans="1:14" ht="45.75" customHeight="1" x14ac:dyDescent="0.25">
      <c r="A42" s="26">
        <v>20</v>
      </c>
      <c r="B42" s="83" t="s">
        <v>153</v>
      </c>
      <c r="C42" s="233" t="s">
        <v>16</v>
      </c>
      <c r="D42" s="233"/>
      <c r="E42" s="233"/>
      <c r="F42" s="233"/>
      <c r="G42" s="21" t="s">
        <v>172</v>
      </c>
      <c r="H42" s="72">
        <v>0.16</v>
      </c>
      <c r="I42" s="69">
        <f>1997/H42</f>
        <v>12481.25</v>
      </c>
      <c r="J42" s="70">
        <f t="shared" si="0"/>
        <v>1997</v>
      </c>
      <c r="K42" s="71">
        <f t="shared" si="1"/>
        <v>1.1158824448187497</v>
      </c>
      <c r="L42" s="70">
        <f t="shared" si="2"/>
        <v>2228.4172423030432</v>
      </c>
      <c r="M42" s="70">
        <f t="shared" si="3"/>
        <v>2674.1006907636515</v>
      </c>
    </row>
    <row r="43" spans="1:14" ht="30.75" customHeight="1" x14ac:dyDescent="0.25">
      <c r="A43" s="26">
        <v>21</v>
      </c>
      <c r="B43" s="83" t="s">
        <v>168</v>
      </c>
      <c r="C43" s="233" t="s">
        <v>173</v>
      </c>
      <c r="D43" s="233"/>
      <c r="E43" s="233"/>
      <c r="F43" s="233"/>
      <c r="G43" s="21" t="s">
        <v>174</v>
      </c>
      <c r="H43" s="72">
        <v>9.8560000000000002E-3</v>
      </c>
      <c r="I43" s="69">
        <f>376/H43</f>
        <v>38149.35064935065</v>
      </c>
      <c r="J43" s="70">
        <f t="shared" si="0"/>
        <v>376</v>
      </c>
      <c r="K43" s="71">
        <f t="shared" si="1"/>
        <v>1.1158824448187497</v>
      </c>
      <c r="L43" s="70">
        <f t="shared" si="2"/>
        <v>419.57179925184988</v>
      </c>
      <c r="M43" s="70">
        <f t="shared" si="3"/>
        <v>503.48615910221986</v>
      </c>
    </row>
    <row r="44" spans="1:14" ht="30" customHeight="1" x14ac:dyDescent="0.25">
      <c r="A44" s="25">
        <v>22</v>
      </c>
      <c r="B44" s="83" t="s">
        <v>155</v>
      </c>
      <c r="C44" s="233" t="s">
        <v>17</v>
      </c>
      <c r="D44" s="233"/>
      <c r="E44" s="233"/>
      <c r="F44" s="233"/>
      <c r="G44" s="21" t="s">
        <v>176</v>
      </c>
      <c r="H44" s="68">
        <v>0.1</v>
      </c>
      <c r="I44" s="75">
        <f>670/H44</f>
        <v>6700</v>
      </c>
      <c r="J44" s="70">
        <f t="shared" si="0"/>
        <v>670</v>
      </c>
      <c r="K44" s="71">
        <f t="shared" si="1"/>
        <v>1.1158824448187497</v>
      </c>
      <c r="L44" s="70">
        <f t="shared" si="2"/>
        <v>747.64123802856227</v>
      </c>
      <c r="M44" s="70">
        <f t="shared" si="3"/>
        <v>897.16948563427468</v>
      </c>
    </row>
    <row r="45" spans="1:14" ht="44.25" customHeight="1" x14ac:dyDescent="0.25">
      <c r="A45" s="27">
        <v>23</v>
      </c>
      <c r="B45" s="83" t="s">
        <v>170</v>
      </c>
      <c r="C45" s="233" t="s">
        <v>181</v>
      </c>
      <c r="D45" s="233"/>
      <c r="E45" s="233"/>
      <c r="F45" s="233"/>
      <c r="G45" s="21" t="s">
        <v>174</v>
      </c>
      <c r="H45" s="72">
        <v>1.1310000000000001E-2</v>
      </c>
      <c r="I45" s="75">
        <f>450/H45</f>
        <v>39787.798408488059</v>
      </c>
      <c r="J45" s="70">
        <f t="shared" si="0"/>
        <v>450</v>
      </c>
      <c r="K45" s="71">
        <f t="shared" si="1"/>
        <v>1.1158824448187497</v>
      </c>
      <c r="L45" s="70">
        <f t="shared" si="2"/>
        <v>502.14710016843736</v>
      </c>
      <c r="M45" s="70">
        <f t="shared" si="3"/>
        <v>602.57652020212481</v>
      </c>
    </row>
    <row r="46" spans="1:14" s="28" customFormat="1" ht="46.5" customHeight="1" x14ac:dyDescent="0.25">
      <c r="A46" s="27">
        <v>24</v>
      </c>
      <c r="B46" s="87" t="s">
        <v>161</v>
      </c>
      <c r="C46" s="240" t="s">
        <v>184</v>
      </c>
      <c r="D46" s="240"/>
      <c r="E46" s="240"/>
      <c r="F46" s="240"/>
      <c r="G46" s="88" t="s">
        <v>185</v>
      </c>
      <c r="H46" s="89">
        <v>7.0000000000000001E-3</v>
      </c>
      <c r="I46" s="90">
        <f>749/H46</f>
        <v>107000</v>
      </c>
      <c r="J46" s="70">
        <f t="shared" si="0"/>
        <v>749</v>
      </c>
      <c r="K46" s="71">
        <f t="shared" si="1"/>
        <v>1.1158824448187497</v>
      </c>
      <c r="L46" s="70">
        <f t="shared" si="2"/>
        <v>835.79595116924349</v>
      </c>
      <c r="M46" s="70">
        <f t="shared" si="3"/>
        <v>1002.9551414030922</v>
      </c>
      <c r="N46" s="86"/>
    </row>
    <row r="47" spans="1:14" ht="36" customHeight="1" x14ac:dyDescent="0.25">
      <c r="A47" s="27">
        <v>25</v>
      </c>
      <c r="B47" s="76" t="s">
        <v>154</v>
      </c>
      <c r="C47" s="241" t="s">
        <v>91</v>
      </c>
      <c r="D47" s="241"/>
      <c r="E47" s="241"/>
      <c r="F47" s="241"/>
      <c r="G47" s="56" t="s">
        <v>172</v>
      </c>
      <c r="H47" s="72">
        <v>7.0000000000000007E-2</v>
      </c>
      <c r="I47" s="75">
        <f>733/H47</f>
        <v>10471.428571428571</v>
      </c>
      <c r="J47" s="70">
        <f t="shared" si="0"/>
        <v>733</v>
      </c>
      <c r="K47" s="71">
        <f t="shared" si="1"/>
        <v>1.1158824448187497</v>
      </c>
      <c r="L47" s="70">
        <f t="shared" si="2"/>
        <v>817.94183205214347</v>
      </c>
      <c r="M47" s="70">
        <f t="shared" si="3"/>
        <v>981.53019846257212</v>
      </c>
    </row>
    <row r="48" spans="1:14" ht="17.25" customHeight="1" x14ac:dyDescent="0.25">
      <c r="A48" s="27">
        <v>26</v>
      </c>
      <c r="B48" s="76" t="s">
        <v>169</v>
      </c>
      <c r="C48" s="241" t="s">
        <v>175</v>
      </c>
      <c r="D48" s="241"/>
      <c r="E48" s="241"/>
      <c r="F48" s="241"/>
      <c r="G48" s="56" t="s">
        <v>174</v>
      </c>
      <c r="H48" s="72">
        <v>8.8199999999999997E-3</v>
      </c>
      <c r="I48" s="75">
        <f>435/H48</f>
        <v>49319.727891156464</v>
      </c>
      <c r="J48" s="70">
        <f t="shared" si="0"/>
        <v>435</v>
      </c>
      <c r="K48" s="71">
        <f t="shared" si="1"/>
        <v>1.1158824448187497</v>
      </c>
      <c r="L48" s="70">
        <f t="shared" si="2"/>
        <v>485.40886349615607</v>
      </c>
      <c r="M48" s="70">
        <f t="shared" si="3"/>
        <v>582.49063619538731</v>
      </c>
    </row>
    <row r="49" spans="1:14" ht="28.5" customHeight="1" x14ac:dyDescent="0.25">
      <c r="A49" s="27">
        <v>27</v>
      </c>
      <c r="B49" s="76" t="s">
        <v>162</v>
      </c>
      <c r="C49" s="241" t="s">
        <v>92</v>
      </c>
      <c r="D49" s="241"/>
      <c r="E49" s="241"/>
      <c r="F49" s="241"/>
      <c r="G49" s="56" t="s">
        <v>185</v>
      </c>
      <c r="H49" s="72">
        <v>7.0000000000000007E-2</v>
      </c>
      <c r="I49" s="75">
        <f>2345/H49</f>
        <v>33500</v>
      </c>
      <c r="J49" s="70">
        <f t="shared" si="0"/>
        <v>2345</v>
      </c>
      <c r="K49" s="71">
        <f t="shared" si="1"/>
        <v>1.1158824448187497</v>
      </c>
      <c r="L49" s="70">
        <f t="shared" si="2"/>
        <v>2616.7443330999681</v>
      </c>
      <c r="M49" s="70">
        <f t="shared" si="3"/>
        <v>3140.0931997199618</v>
      </c>
    </row>
    <row r="50" spans="1:14" ht="43.5" customHeight="1" x14ac:dyDescent="0.25">
      <c r="A50" s="25">
        <v>28</v>
      </c>
      <c r="B50" s="76" t="s">
        <v>163</v>
      </c>
      <c r="C50" s="237" t="s">
        <v>75</v>
      </c>
      <c r="D50" s="238"/>
      <c r="E50" s="238"/>
      <c r="F50" s="239"/>
      <c r="G50" s="56" t="s">
        <v>202</v>
      </c>
      <c r="H50" s="68">
        <v>1</v>
      </c>
      <c r="I50" s="75">
        <f>43332.55-0.11</f>
        <v>43332.44</v>
      </c>
      <c r="J50" s="70">
        <f t="shared" si="0"/>
        <v>43332.44</v>
      </c>
      <c r="K50" s="71">
        <f t="shared" si="1"/>
        <v>1.1158824448187497</v>
      </c>
      <c r="L50" s="70">
        <f t="shared" si="2"/>
        <v>48353.909087161781</v>
      </c>
      <c r="M50" s="70">
        <f t="shared" si="3"/>
        <v>58024.690904594136</v>
      </c>
      <c r="N50" s="33"/>
    </row>
    <row r="51" spans="1:14" ht="52.5" customHeight="1" x14ac:dyDescent="0.25">
      <c r="A51" s="25">
        <v>29</v>
      </c>
      <c r="B51" s="76" t="s">
        <v>164</v>
      </c>
      <c r="C51" s="237" t="s">
        <v>76</v>
      </c>
      <c r="D51" s="238"/>
      <c r="E51" s="238"/>
      <c r="F51" s="239"/>
      <c r="G51" s="56" t="s">
        <v>203</v>
      </c>
      <c r="H51" s="68">
        <v>1</v>
      </c>
      <c r="I51" s="75">
        <v>1704</v>
      </c>
      <c r="J51" s="70">
        <f t="shared" si="0"/>
        <v>1704</v>
      </c>
      <c r="K51" s="71">
        <f t="shared" si="1"/>
        <v>1.1158824448187497</v>
      </c>
      <c r="L51" s="70">
        <f t="shared" si="2"/>
        <v>1901.4636859711495</v>
      </c>
      <c r="M51" s="70">
        <f t="shared" si="3"/>
        <v>2281.7564231653791</v>
      </c>
      <c r="N51" s="9"/>
    </row>
    <row r="52" spans="1:14" ht="37.5" customHeight="1" x14ac:dyDescent="0.25">
      <c r="A52" s="25">
        <v>30</v>
      </c>
      <c r="B52" s="76" t="s">
        <v>165</v>
      </c>
      <c r="C52" s="237" t="s">
        <v>77</v>
      </c>
      <c r="D52" s="238"/>
      <c r="E52" s="238"/>
      <c r="F52" s="239"/>
      <c r="G52" s="56" t="s">
        <v>178</v>
      </c>
      <c r="H52" s="72">
        <v>0.01</v>
      </c>
      <c r="I52" s="92">
        <f>56/H52</f>
        <v>5600</v>
      </c>
      <c r="J52" s="70">
        <f t="shared" si="0"/>
        <v>56</v>
      </c>
      <c r="K52" s="71">
        <f t="shared" si="1"/>
        <v>1.1158824448187497</v>
      </c>
      <c r="L52" s="70">
        <f t="shared" si="2"/>
        <v>62.489416909849979</v>
      </c>
      <c r="M52" s="70">
        <f t="shared" si="3"/>
        <v>74.987300291819977</v>
      </c>
    </row>
    <row r="53" spans="1:14" ht="60" customHeight="1" x14ac:dyDescent="0.25">
      <c r="A53" s="25">
        <v>31</v>
      </c>
      <c r="B53" s="76" t="s">
        <v>166</v>
      </c>
      <c r="C53" s="237" t="s">
        <v>78</v>
      </c>
      <c r="D53" s="238"/>
      <c r="E53" s="238"/>
      <c r="F53" s="239"/>
      <c r="G53" s="56" t="s">
        <v>178</v>
      </c>
      <c r="H53" s="72">
        <v>0.01</v>
      </c>
      <c r="I53" s="92">
        <f>433/H53</f>
        <v>43300</v>
      </c>
      <c r="J53" s="70">
        <f t="shared" si="0"/>
        <v>433</v>
      </c>
      <c r="K53" s="71">
        <f t="shared" si="1"/>
        <v>1.1158824448187497</v>
      </c>
      <c r="L53" s="70">
        <f t="shared" si="2"/>
        <v>483.1770986065186</v>
      </c>
      <c r="M53" s="70">
        <f t="shared" si="3"/>
        <v>579.81251832782232</v>
      </c>
    </row>
    <row r="54" spans="1:14" ht="50.25" customHeight="1" x14ac:dyDescent="0.25">
      <c r="A54" s="25">
        <v>32</v>
      </c>
      <c r="B54" s="76" t="s">
        <v>167</v>
      </c>
      <c r="C54" s="237" t="s">
        <v>79</v>
      </c>
      <c r="D54" s="238"/>
      <c r="E54" s="238"/>
      <c r="F54" s="239"/>
      <c r="G54" s="56" t="s">
        <v>180</v>
      </c>
      <c r="H54" s="68">
        <v>1</v>
      </c>
      <c r="I54" s="92">
        <v>570</v>
      </c>
      <c r="J54" s="70">
        <f t="shared" si="0"/>
        <v>570</v>
      </c>
      <c r="K54" s="71">
        <f t="shared" si="1"/>
        <v>1.1158824448187497</v>
      </c>
      <c r="L54" s="70">
        <f t="shared" si="2"/>
        <v>636.05299354668728</v>
      </c>
      <c r="M54" s="70">
        <f t="shared" si="3"/>
        <v>763.26359225602471</v>
      </c>
    </row>
    <row r="55" spans="1:14" ht="34.5" customHeight="1" x14ac:dyDescent="0.25">
      <c r="A55" s="25">
        <v>33</v>
      </c>
      <c r="B55" s="76" t="s">
        <v>186</v>
      </c>
      <c r="C55" s="237" t="s">
        <v>204</v>
      </c>
      <c r="D55" s="238"/>
      <c r="E55" s="238"/>
      <c r="F55" s="239"/>
      <c r="G55" s="56" t="s">
        <v>205</v>
      </c>
      <c r="H55" s="68">
        <v>1</v>
      </c>
      <c r="I55" s="92">
        <v>463</v>
      </c>
      <c r="J55" s="70">
        <f t="shared" si="0"/>
        <v>463</v>
      </c>
      <c r="K55" s="71">
        <f t="shared" si="1"/>
        <v>1.1158824448187497</v>
      </c>
      <c r="L55" s="70">
        <f t="shared" si="2"/>
        <v>516.65357195108106</v>
      </c>
      <c r="M55" s="70">
        <f t="shared" si="3"/>
        <v>619.98428634129721</v>
      </c>
    </row>
    <row r="56" spans="1:14" ht="27.75" customHeight="1" x14ac:dyDescent="0.25">
      <c r="A56" s="25">
        <v>34</v>
      </c>
      <c r="B56" s="76" t="s">
        <v>268</v>
      </c>
      <c r="C56" s="237" t="s">
        <v>80</v>
      </c>
      <c r="D56" s="238"/>
      <c r="E56" s="238"/>
      <c r="F56" s="239"/>
      <c r="G56" s="56" t="s">
        <v>174</v>
      </c>
      <c r="H56" s="72">
        <v>5.5199999999999999E-2</v>
      </c>
      <c r="I56" s="92">
        <f>2124/H56</f>
        <v>38478.260869565216</v>
      </c>
      <c r="J56" s="70">
        <f t="shared" si="0"/>
        <v>2124</v>
      </c>
      <c r="K56" s="71">
        <f t="shared" si="1"/>
        <v>1.1158824448187497</v>
      </c>
      <c r="L56" s="70">
        <f t="shared" si="2"/>
        <v>2370.1343127950245</v>
      </c>
      <c r="M56" s="70">
        <f t="shared" si="3"/>
        <v>2844.1611753540292</v>
      </c>
    </row>
    <row r="57" spans="1:14" s="28" customFormat="1" ht="23.25" customHeight="1" x14ac:dyDescent="0.25">
      <c r="A57" s="27">
        <v>35</v>
      </c>
      <c r="B57" s="76" t="s">
        <v>187</v>
      </c>
      <c r="C57" s="237" t="s">
        <v>206</v>
      </c>
      <c r="D57" s="238"/>
      <c r="E57" s="238"/>
      <c r="F57" s="239"/>
      <c r="G57" s="57" t="s">
        <v>174</v>
      </c>
      <c r="H57" s="72">
        <v>5.5199999999999999E-2</v>
      </c>
      <c r="I57" s="75">
        <f>3414/H57</f>
        <v>61847.82608695652</v>
      </c>
      <c r="J57" s="70">
        <f t="shared" si="0"/>
        <v>3414</v>
      </c>
      <c r="K57" s="71">
        <f t="shared" si="1"/>
        <v>1.1158824448187497</v>
      </c>
      <c r="L57" s="70">
        <f t="shared" si="2"/>
        <v>3809.6226666112111</v>
      </c>
      <c r="M57" s="70">
        <f t="shared" si="3"/>
        <v>4571.5471999334532</v>
      </c>
    </row>
    <row r="58" spans="1:14" ht="76.5" customHeight="1" x14ac:dyDescent="0.25">
      <c r="A58" s="27">
        <v>36</v>
      </c>
      <c r="B58" s="76" t="s">
        <v>81</v>
      </c>
      <c r="C58" s="237" t="s">
        <v>19</v>
      </c>
      <c r="D58" s="238"/>
      <c r="E58" s="238"/>
      <c r="F58" s="239"/>
      <c r="G58" s="56" t="s">
        <v>207</v>
      </c>
      <c r="H58" s="68">
        <v>1</v>
      </c>
      <c r="I58" s="75">
        <v>6957</v>
      </c>
      <c r="J58" s="70">
        <f t="shared" si="0"/>
        <v>6957</v>
      </c>
      <c r="K58" s="71">
        <f t="shared" si="1"/>
        <v>1.1158824448187497</v>
      </c>
      <c r="L58" s="70">
        <f t="shared" si="2"/>
        <v>7763.1941686040409</v>
      </c>
      <c r="M58" s="70">
        <f t="shared" si="3"/>
        <v>9315.8330023248491</v>
      </c>
    </row>
    <row r="59" spans="1:14" ht="45.75" customHeight="1" x14ac:dyDescent="0.25">
      <c r="A59" s="27">
        <v>37</v>
      </c>
      <c r="B59" s="76" t="s">
        <v>269</v>
      </c>
      <c r="C59" s="237" t="s">
        <v>82</v>
      </c>
      <c r="D59" s="238"/>
      <c r="E59" s="238"/>
      <c r="F59" s="239"/>
      <c r="G59" s="56" t="s">
        <v>180</v>
      </c>
      <c r="H59" s="68">
        <v>1</v>
      </c>
      <c r="I59" s="75">
        <v>4055</v>
      </c>
      <c r="J59" s="70">
        <f t="shared" si="0"/>
        <v>4055</v>
      </c>
      <c r="K59" s="71">
        <f t="shared" si="1"/>
        <v>1.1158824448187497</v>
      </c>
      <c r="L59" s="70">
        <f t="shared" si="2"/>
        <v>4524.9033137400302</v>
      </c>
      <c r="M59" s="70">
        <f t="shared" si="3"/>
        <v>5429.8839764880358</v>
      </c>
    </row>
    <row r="60" spans="1:14" ht="30.75" customHeight="1" x14ac:dyDescent="0.25">
      <c r="A60" s="27">
        <v>38</v>
      </c>
      <c r="B60" s="76" t="s">
        <v>188</v>
      </c>
      <c r="C60" s="237" t="s">
        <v>83</v>
      </c>
      <c r="D60" s="238"/>
      <c r="E60" s="238"/>
      <c r="F60" s="239"/>
      <c r="G60" s="56" t="s">
        <v>180</v>
      </c>
      <c r="H60" s="68">
        <v>1</v>
      </c>
      <c r="I60" s="75">
        <v>1265</v>
      </c>
      <c r="J60" s="70">
        <f t="shared" si="0"/>
        <v>1265</v>
      </c>
      <c r="K60" s="71">
        <f t="shared" si="1"/>
        <v>1.1158824448187497</v>
      </c>
      <c r="L60" s="70">
        <f t="shared" si="2"/>
        <v>1411.5912926957183</v>
      </c>
      <c r="M60" s="70">
        <f t="shared" si="3"/>
        <v>1693.909551234862</v>
      </c>
    </row>
    <row r="61" spans="1:14" ht="30" customHeight="1" x14ac:dyDescent="0.25">
      <c r="A61" s="27">
        <v>39</v>
      </c>
      <c r="B61" s="76" t="s">
        <v>189</v>
      </c>
      <c r="C61" s="237" t="s">
        <v>84</v>
      </c>
      <c r="D61" s="238"/>
      <c r="E61" s="238"/>
      <c r="F61" s="239"/>
      <c r="G61" s="56" t="s">
        <v>180</v>
      </c>
      <c r="H61" s="68">
        <v>1</v>
      </c>
      <c r="I61" s="75">
        <v>3711</v>
      </c>
      <c r="J61" s="70">
        <f t="shared" si="0"/>
        <v>3711</v>
      </c>
      <c r="K61" s="71">
        <f t="shared" si="1"/>
        <v>1.1158824448187497</v>
      </c>
      <c r="L61" s="70">
        <f t="shared" si="2"/>
        <v>4141.0397527223804</v>
      </c>
      <c r="M61" s="70">
        <f t="shared" si="3"/>
        <v>4969.2477032668567</v>
      </c>
    </row>
    <row r="62" spans="1:14" ht="43.5" customHeight="1" x14ac:dyDescent="0.25">
      <c r="A62" s="27">
        <v>40</v>
      </c>
      <c r="B62" s="76" t="s">
        <v>190</v>
      </c>
      <c r="C62" s="237" t="s">
        <v>85</v>
      </c>
      <c r="D62" s="238"/>
      <c r="E62" s="238"/>
      <c r="F62" s="239"/>
      <c r="G62" s="56" t="s">
        <v>180</v>
      </c>
      <c r="H62" s="68">
        <v>1</v>
      </c>
      <c r="I62" s="75">
        <v>5411</v>
      </c>
      <c r="J62" s="70">
        <f t="shared" si="0"/>
        <v>5411</v>
      </c>
      <c r="K62" s="71">
        <f t="shared" si="1"/>
        <v>1.1158824448187497</v>
      </c>
      <c r="L62" s="70">
        <f t="shared" si="2"/>
        <v>6038.0399089142547</v>
      </c>
      <c r="M62" s="70">
        <f t="shared" si="3"/>
        <v>7245.6478906971051</v>
      </c>
    </row>
    <row r="63" spans="1:14" ht="24" customHeight="1" x14ac:dyDescent="0.25">
      <c r="A63" s="27">
        <v>41</v>
      </c>
      <c r="B63" s="76" t="s">
        <v>191</v>
      </c>
      <c r="C63" s="237" t="s">
        <v>279</v>
      </c>
      <c r="D63" s="238"/>
      <c r="E63" s="238"/>
      <c r="F63" s="239"/>
      <c r="G63" s="56" t="s">
        <v>180</v>
      </c>
      <c r="H63" s="68">
        <v>1</v>
      </c>
      <c r="I63" s="75">
        <v>1443</v>
      </c>
      <c r="J63" s="70">
        <f t="shared" si="0"/>
        <v>1443</v>
      </c>
      <c r="K63" s="71">
        <f t="shared" si="1"/>
        <v>1.1158824448187497</v>
      </c>
      <c r="L63" s="70">
        <f t="shared" si="2"/>
        <v>1610.2183678734557</v>
      </c>
      <c r="M63" s="70">
        <f t="shared" si="3"/>
        <v>1932.2620414481466</v>
      </c>
    </row>
    <row r="64" spans="1:14" ht="65.25" customHeight="1" x14ac:dyDescent="0.25">
      <c r="A64" s="27">
        <v>42</v>
      </c>
      <c r="B64" s="76" t="s">
        <v>192</v>
      </c>
      <c r="C64" s="237" t="s">
        <v>208</v>
      </c>
      <c r="D64" s="238"/>
      <c r="E64" s="238"/>
      <c r="F64" s="239"/>
      <c r="G64" s="56" t="s">
        <v>180</v>
      </c>
      <c r="H64" s="68">
        <v>1</v>
      </c>
      <c r="I64" s="75">
        <v>14092</v>
      </c>
      <c r="J64" s="70">
        <f t="shared" si="0"/>
        <v>14092</v>
      </c>
      <c r="K64" s="71">
        <f t="shared" si="1"/>
        <v>1.1158824448187497</v>
      </c>
      <c r="L64" s="70">
        <f t="shared" si="2"/>
        <v>15725.015412385819</v>
      </c>
      <c r="M64" s="70">
        <f t="shared" si="3"/>
        <v>18870.018494862983</v>
      </c>
    </row>
    <row r="65" spans="1:13" ht="20.25" customHeight="1" x14ac:dyDescent="0.25">
      <c r="A65" s="25">
        <v>43</v>
      </c>
      <c r="B65" s="76"/>
      <c r="C65" s="237" t="s">
        <v>209</v>
      </c>
      <c r="D65" s="238"/>
      <c r="E65" s="238"/>
      <c r="F65" s="239"/>
      <c r="G65" s="56" t="s">
        <v>180</v>
      </c>
      <c r="H65" s="68">
        <v>1</v>
      </c>
      <c r="I65" s="75">
        <v>760</v>
      </c>
      <c r="J65" s="70">
        <f t="shared" si="0"/>
        <v>760</v>
      </c>
      <c r="K65" s="71">
        <f t="shared" si="1"/>
        <v>1.1158824448187497</v>
      </c>
      <c r="L65" s="70">
        <f t="shared" si="2"/>
        <v>848.07065806224978</v>
      </c>
      <c r="M65" s="70">
        <f t="shared" si="3"/>
        <v>1017.6847896746997</v>
      </c>
    </row>
    <row r="66" spans="1:13" ht="61.5" customHeight="1" x14ac:dyDescent="0.25">
      <c r="A66" s="25">
        <v>44</v>
      </c>
      <c r="B66" s="76" t="s">
        <v>193</v>
      </c>
      <c r="C66" s="237" t="s">
        <v>210</v>
      </c>
      <c r="D66" s="238"/>
      <c r="E66" s="238"/>
      <c r="F66" s="239"/>
      <c r="G66" s="56" t="s">
        <v>211</v>
      </c>
      <c r="H66" s="72">
        <v>3.1349999999999998</v>
      </c>
      <c r="I66" s="75">
        <f>135668/H66</f>
        <v>43275.279106858055</v>
      </c>
      <c r="J66" s="70">
        <f t="shared" si="0"/>
        <v>135668</v>
      </c>
      <c r="K66" s="71">
        <f t="shared" si="1"/>
        <v>1.1158824448187497</v>
      </c>
      <c r="L66" s="70">
        <f t="shared" si="2"/>
        <v>151389.53952367013</v>
      </c>
      <c r="M66" s="70">
        <f t="shared" si="3"/>
        <v>181667.44742840415</v>
      </c>
    </row>
    <row r="67" spans="1:13" ht="60.75" customHeight="1" x14ac:dyDescent="0.25">
      <c r="A67" s="25">
        <v>45</v>
      </c>
      <c r="B67" s="76" t="s">
        <v>194</v>
      </c>
      <c r="C67" s="237" t="s">
        <v>212</v>
      </c>
      <c r="D67" s="238"/>
      <c r="E67" s="238"/>
      <c r="F67" s="239"/>
      <c r="G67" s="56" t="s">
        <v>211</v>
      </c>
      <c r="H67" s="72">
        <v>3.1349999999999998</v>
      </c>
      <c r="I67" s="75">
        <f>109158/H67</f>
        <v>34819.138755980865</v>
      </c>
      <c r="J67" s="70">
        <f t="shared" si="0"/>
        <v>109158</v>
      </c>
      <c r="K67" s="71">
        <f t="shared" si="1"/>
        <v>1.1158824448187497</v>
      </c>
      <c r="L67" s="70">
        <f t="shared" si="2"/>
        <v>121807.49591152507</v>
      </c>
      <c r="M67" s="70">
        <f t="shared" si="3"/>
        <v>146168.99509383008</v>
      </c>
    </row>
    <row r="68" spans="1:13" ht="60.75" customHeight="1" x14ac:dyDescent="0.25">
      <c r="A68" s="25">
        <v>46</v>
      </c>
      <c r="B68" s="76" t="s">
        <v>195</v>
      </c>
      <c r="C68" s="237" t="s">
        <v>213</v>
      </c>
      <c r="D68" s="238"/>
      <c r="E68" s="238"/>
      <c r="F68" s="239"/>
      <c r="G68" s="21" t="s">
        <v>211</v>
      </c>
      <c r="H68" s="72">
        <v>3.1349999999999998</v>
      </c>
      <c r="I68" s="75">
        <f>176546/H68</f>
        <v>56314.513556618826</v>
      </c>
      <c r="J68" s="70">
        <f t="shared" si="0"/>
        <v>176546</v>
      </c>
      <c r="K68" s="71">
        <f t="shared" si="1"/>
        <v>1.1158824448187497</v>
      </c>
      <c r="L68" s="70">
        <f t="shared" si="2"/>
        <v>197004.58210297098</v>
      </c>
      <c r="M68" s="70">
        <f t="shared" si="3"/>
        <v>236405.49852356515</v>
      </c>
    </row>
    <row r="69" spans="1:13" ht="26.25" customHeight="1" x14ac:dyDescent="0.25">
      <c r="A69" s="25">
        <v>47</v>
      </c>
      <c r="B69" s="76" t="s">
        <v>196</v>
      </c>
      <c r="C69" s="237" t="s">
        <v>101</v>
      </c>
      <c r="D69" s="238"/>
      <c r="E69" s="238"/>
      <c r="F69" s="239"/>
      <c r="G69" s="21" t="s">
        <v>214</v>
      </c>
      <c r="H69" s="68">
        <v>1</v>
      </c>
      <c r="I69" s="75">
        <v>600</v>
      </c>
      <c r="J69" s="70">
        <f t="shared" si="0"/>
        <v>600</v>
      </c>
      <c r="K69" s="71">
        <f t="shared" si="1"/>
        <v>1.1158824448187497</v>
      </c>
      <c r="L69" s="70">
        <f t="shared" si="2"/>
        <v>669.52946689124974</v>
      </c>
      <c r="M69" s="70">
        <f t="shared" si="3"/>
        <v>803.43536026949971</v>
      </c>
    </row>
    <row r="70" spans="1:13" x14ac:dyDescent="0.25">
      <c r="A70" s="25">
        <v>48</v>
      </c>
      <c r="B70" s="76"/>
      <c r="C70" s="237" t="s">
        <v>215</v>
      </c>
      <c r="D70" s="238"/>
      <c r="E70" s="238"/>
      <c r="F70" s="239"/>
      <c r="G70" s="21" t="s">
        <v>216</v>
      </c>
      <c r="H70" s="68">
        <v>1</v>
      </c>
      <c r="I70" s="75">
        <v>1023</v>
      </c>
      <c r="J70" s="70">
        <f t="shared" si="0"/>
        <v>1023</v>
      </c>
      <c r="K70" s="71">
        <f t="shared" si="1"/>
        <v>1.1158824448187497</v>
      </c>
      <c r="L70" s="70">
        <f t="shared" si="2"/>
        <v>1141.547741049581</v>
      </c>
      <c r="M70" s="70">
        <f t="shared" si="3"/>
        <v>1369.8572892594971</v>
      </c>
    </row>
    <row r="71" spans="1:13" x14ac:dyDescent="0.25">
      <c r="A71" s="25">
        <v>49</v>
      </c>
      <c r="B71" s="76"/>
      <c r="C71" s="237" t="s">
        <v>225</v>
      </c>
      <c r="D71" s="238"/>
      <c r="E71" s="238"/>
      <c r="F71" s="239"/>
      <c r="G71" s="21" t="s">
        <v>216</v>
      </c>
      <c r="H71" s="68">
        <v>1</v>
      </c>
      <c r="I71" s="75">
        <v>735</v>
      </c>
      <c r="J71" s="70">
        <f t="shared" si="0"/>
        <v>735</v>
      </c>
      <c r="K71" s="71">
        <f t="shared" si="1"/>
        <v>1.1158824448187497</v>
      </c>
      <c r="L71" s="70">
        <f t="shared" si="2"/>
        <v>820.17359694178094</v>
      </c>
      <c r="M71" s="70">
        <f t="shared" si="3"/>
        <v>984.20831633013711</v>
      </c>
    </row>
    <row r="72" spans="1:13" x14ac:dyDescent="0.25">
      <c r="A72" s="25">
        <v>50</v>
      </c>
      <c r="B72" s="76"/>
      <c r="C72" s="237" t="s">
        <v>226</v>
      </c>
      <c r="D72" s="238"/>
      <c r="E72" s="238"/>
      <c r="F72" s="239"/>
      <c r="G72" s="21" t="s">
        <v>216</v>
      </c>
      <c r="H72" s="68">
        <v>1</v>
      </c>
      <c r="I72" s="75">
        <v>334</v>
      </c>
      <c r="J72" s="70">
        <f t="shared" si="0"/>
        <v>334</v>
      </c>
      <c r="K72" s="71">
        <f t="shared" si="1"/>
        <v>1.1158824448187497</v>
      </c>
      <c r="L72" s="70">
        <f t="shared" si="2"/>
        <v>372.7047365694624</v>
      </c>
      <c r="M72" s="70">
        <f t="shared" si="3"/>
        <v>447.24568388335484</v>
      </c>
    </row>
    <row r="73" spans="1:13" x14ac:dyDescent="0.25">
      <c r="A73" s="25">
        <v>51</v>
      </c>
      <c r="B73" s="76"/>
      <c r="C73" s="237" t="s">
        <v>224</v>
      </c>
      <c r="D73" s="238"/>
      <c r="E73" s="238"/>
      <c r="F73" s="239"/>
      <c r="G73" s="21" t="s">
        <v>216</v>
      </c>
      <c r="H73" s="68">
        <v>1</v>
      </c>
      <c r="I73" s="75">
        <v>1318</v>
      </c>
      <c r="J73" s="70">
        <f t="shared" si="0"/>
        <v>1318</v>
      </c>
      <c r="K73" s="71">
        <f t="shared" si="1"/>
        <v>1.1158824448187497</v>
      </c>
      <c r="L73" s="70">
        <f t="shared" si="2"/>
        <v>1470.733062271112</v>
      </c>
      <c r="M73" s="70">
        <f t="shared" si="3"/>
        <v>1764.8796747253343</v>
      </c>
    </row>
    <row r="74" spans="1:13" x14ac:dyDescent="0.25">
      <c r="A74" s="25">
        <v>52</v>
      </c>
      <c r="B74" s="76"/>
      <c r="C74" s="237" t="s">
        <v>223</v>
      </c>
      <c r="D74" s="238"/>
      <c r="E74" s="238"/>
      <c r="F74" s="239"/>
      <c r="G74" s="21" t="s">
        <v>216</v>
      </c>
      <c r="H74" s="68">
        <v>1</v>
      </c>
      <c r="I74" s="75">
        <v>100</v>
      </c>
      <c r="J74" s="70">
        <f t="shared" si="0"/>
        <v>100</v>
      </c>
      <c r="K74" s="71">
        <f t="shared" si="1"/>
        <v>1.1158824448187497</v>
      </c>
      <c r="L74" s="70">
        <f t="shared" si="2"/>
        <v>111.58824448187497</v>
      </c>
      <c r="M74" s="70">
        <f t="shared" si="3"/>
        <v>133.90589337824994</v>
      </c>
    </row>
    <row r="75" spans="1:13" x14ac:dyDescent="0.25">
      <c r="A75" s="25">
        <v>53</v>
      </c>
      <c r="B75" s="76"/>
      <c r="C75" s="237" t="s">
        <v>222</v>
      </c>
      <c r="D75" s="238"/>
      <c r="E75" s="238"/>
      <c r="F75" s="239"/>
      <c r="G75" s="21" t="s">
        <v>216</v>
      </c>
      <c r="H75" s="68">
        <v>1</v>
      </c>
      <c r="I75" s="75">
        <v>50</v>
      </c>
      <c r="J75" s="70">
        <f t="shared" si="0"/>
        <v>50</v>
      </c>
      <c r="K75" s="71">
        <f t="shared" si="1"/>
        <v>1.1158824448187497</v>
      </c>
      <c r="L75" s="70">
        <f t="shared" si="2"/>
        <v>55.794122240937483</v>
      </c>
      <c r="M75" s="70">
        <f t="shared" si="3"/>
        <v>66.952946689124971</v>
      </c>
    </row>
    <row r="76" spans="1:13" x14ac:dyDescent="0.25">
      <c r="A76" s="25">
        <v>54</v>
      </c>
      <c r="B76" s="76"/>
      <c r="C76" s="237" t="s">
        <v>221</v>
      </c>
      <c r="D76" s="238"/>
      <c r="E76" s="238"/>
      <c r="F76" s="239"/>
      <c r="G76" s="21" t="s">
        <v>216</v>
      </c>
      <c r="H76" s="68">
        <v>1</v>
      </c>
      <c r="I76" s="75">
        <v>42</v>
      </c>
      <c r="J76" s="70">
        <f t="shared" si="0"/>
        <v>42</v>
      </c>
      <c r="K76" s="71">
        <f t="shared" si="1"/>
        <v>1.1158824448187497</v>
      </c>
      <c r="L76" s="70">
        <f t="shared" si="2"/>
        <v>46.867062682387484</v>
      </c>
      <c r="M76" s="70">
        <f t="shared" si="3"/>
        <v>56.240475218864979</v>
      </c>
    </row>
    <row r="77" spans="1:13" x14ac:dyDescent="0.25">
      <c r="A77" s="25">
        <v>55</v>
      </c>
      <c r="B77" s="76"/>
      <c r="C77" s="237" t="s">
        <v>220</v>
      </c>
      <c r="D77" s="238"/>
      <c r="E77" s="238"/>
      <c r="F77" s="239"/>
      <c r="G77" s="21" t="s">
        <v>216</v>
      </c>
      <c r="H77" s="68">
        <v>1</v>
      </c>
      <c r="I77" s="75">
        <v>942</v>
      </c>
      <c r="J77" s="70">
        <f t="shared" si="0"/>
        <v>942</v>
      </c>
      <c r="K77" s="71">
        <f t="shared" si="1"/>
        <v>1.1158824448187497</v>
      </c>
      <c r="L77" s="70">
        <f t="shared" si="2"/>
        <v>1051.1612630192622</v>
      </c>
      <c r="M77" s="70">
        <f t="shared" si="3"/>
        <v>1261.3935156231146</v>
      </c>
    </row>
    <row r="78" spans="1:13" x14ac:dyDescent="0.25">
      <c r="A78" s="25">
        <v>56</v>
      </c>
      <c r="B78" s="76"/>
      <c r="C78" s="237" t="s">
        <v>219</v>
      </c>
      <c r="D78" s="238"/>
      <c r="E78" s="238"/>
      <c r="F78" s="239"/>
      <c r="G78" s="21" t="s">
        <v>216</v>
      </c>
      <c r="H78" s="68">
        <v>1</v>
      </c>
      <c r="I78" s="75">
        <v>1763</v>
      </c>
      <c r="J78" s="70">
        <f t="shared" si="0"/>
        <v>1763</v>
      </c>
      <c r="K78" s="71">
        <f t="shared" si="1"/>
        <v>1.1158824448187497</v>
      </c>
      <c r="L78" s="70">
        <f t="shared" si="2"/>
        <v>1967.3007502154555</v>
      </c>
      <c r="M78" s="70">
        <f t="shared" si="3"/>
        <v>2360.7609002585464</v>
      </c>
    </row>
    <row r="79" spans="1:13" s="29" customFormat="1" x14ac:dyDescent="0.25">
      <c r="A79" s="27">
        <v>57</v>
      </c>
      <c r="B79" s="76"/>
      <c r="C79" s="237" t="s">
        <v>218</v>
      </c>
      <c r="D79" s="238"/>
      <c r="E79" s="238"/>
      <c r="F79" s="239"/>
      <c r="G79" s="62" t="s">
        <v>216</v>
      </c>
      <c r="H79" s="68">
        <v>1</v>
      </c>
      <c r="I79" s="75">
        <v>406</v>
      </c>
      <c r="J79" s="70">
        <f t="shared" si="0"/>
        <v>406</v>
      </c>
      <c r="K79" s="71">
        <f t="shared" si="1"/>
        <v>1.1158824448187497</v>
      </c>
      <c r="L79" s="70">
        <f t="shared" si="2"/>
        <v>453.04827259641235</v>
      </c>
      <c r="M79" s="70">
        <f t="shared" si="3"/>
        <v>543.65792711569475</v>
      </c>
    </row>
    <row r="80" spans="1:13" s="29" customFormat="1" x14ac:dyDescent="0.25">
      <c r="A80" s="27">
        <v>58</v>
      </c>
      <c r="B80" s="76"/>
      <c r="C80" s="237" t="s">
        <v>217</v>
      </c>
      <c r="D80" s="238"/>
      <c r="E80" s="238"/>
      <c r="F80" s="239"/>
      <c r="G80" s="62" t="s">
        <v>216</v>
      </c>
      <c r="H80" s="68">
        <v>57</v>
      </c>
      <c r="I80" s="75">
        <f>24121/H80</f>
        <v>423.17543859649123</v>
      </c>
      <c r="J80" s="70">
        <f t="shared" si="0"/>
        <v>24121</v>
      </c>
      <c r="K80" s="71">
        <f t="shared" si="1"/>
        <v>1.1158824448187497</v>
      </c>
      <c r="L80" s="70">
        <f t="shared" si="2"/>
        <v>26916.200451473062</v>
      </c>
      <c r="M80" s="70">
        <f t="shared" si="3"/>
        <v>32299.440541767672</v>
      </c>
    </row>
    <row r="81" spans="1:21" s="29" customFormat="1" x14ac:dyDescent="0.25">
      <c r="A81" s="27">
        <v>59</v>
      </c>
      <c r="B81" s="76"/>
      <c r="C81" s="237" t="s">
        <v>227</v>
      </c>
      <c r="D81" s="238"/>
      <c r="E81" s="238"/>
      <c r="F81" s="239"/>
      <c r="G81" s="62" t="s">
        <v>228</v>
      </c>
      <c r="H81" s="72">
        <v>19</v>
      </c>
      <c r="I81" s="75">
        <f>7886/H81</f>
        <v>415.05263157894734</v>
      </c>
      <c r="J81" s="70">
        <f t="shared" si="0"/>
        <v>7885.9999999999991</v>
      </c>
      <c r="K81" s="71">
        <f t="shared" si="1"/>
        <v>1.1158824448187497</v>
      </c>
      <c r="L81" s="70">
        <f t="shared" si="2"/>
        <v>8799.8489598406595</v>
      </c>
      <c r="M81" s="70">
        <f t="shared" si="3"/>
        <v>10559.818751808791</v>
      </c>
    </row>
    <row r="82" spans="1:21" s="29" customFormat="1" x14ac:dyDescent="0.25">
      <c r="A82" s="27">
        <v>60</v>
      </c>
      <c r="B82" s="76"/>
      <c r="C82" s="237" t="s">
        <v>229</v>
      </c>
      <c r="D82" s="238"/>
      <c r="E82" s="238"/>
      <c r="F82" s="239"/>
      <c r="G82" s="62" t="s">
        <v>216</v>
      </c>
      <c r="H82" s="68">
        <v>48</v>
      </c>
      <c r="I82" s="75">
        <f>31385/H82</f>
        <v>653.85416666666663</v>
      </c>
      <c r="J82" s="70">
        <f t="shared" si="0"/>
        <v>31385</v>
      </c>
      <c r="K82" s="71">
        <f t="shared" si="1"/>
        <v>1.1158824448187497</v>
      </c>
      <c r="L82" s="70">
        <f t="shared" si="2"/>
        <v>35021.970530636456</v>
      </c>
      <c r="M82" s="70">
        <f t="shared" si="3"/>
        <v>42026.364636763748</v>
      </c>
    </row>
    <row r="83" spans="1:21" s="29" customFormat="1" x14ac:dyDescent="0.25">
      <c r="A83" s="27">
        <v>61</v>
      </c>
      <c r="B83" s="76" t="s">
        <v>197</v>
      </c>
      <c r="C83" s="237" t="s">
        <v>235</v>
      </c>
      <c r="D83" s="238"/>
      <c r="E83" s="238"/>
      <c r="F83" s="239"/>
      <c r="G83" s="62" t="s">
        <v>216</v>
      </c>
      <c r="H83" s="68">
        <v>48</v>
      </c>
      <c r="I83" s="75">
        <f>24741/H83</f>
        <v>515.4375</v>
      </c>
      <c r="J83" s="70">
        <f t="shared" si="0"/>
        <v>24741</v>
      </c>
      <c r="K83" s="71">
        <f t="shared" si="1"/>
        <v>1.1158824448187497</v>
      </c>
      <c r="L83" s="70">
        <f t="shared" si="2"/>
        <v>27608.047567260684</v>
      </c>
      <c r="M83" s="70">
        <f t="shared" si="3"/>
        <v>33129.657080712823</v>
      </c>
    </row>
    <row r="84" spans="1:21" s="29" customFormat="1" x14ac:dyDescent="0.25">
      <c r="A84" s="27">
        <v>62</v>
      </c>
      <c r="B84" s="76" t="s">
        <v>198</v>
      </c>
      <c r="C84" s="237" t="s">
        <v>234</v>
      </c>
      <c r="D84" s="238"/>
      <c r="E84" s="238"/>
      <c r="F84" s="239"/>
      <c r="G84" s="62" t="s">
        <v>216</v>
      </c>
      <c r="H84" s="68">
        <v>48</v>
      </c>
      <c r="I84" s="75">
        <f>8528/H84</f>
        <v>177.66666666666666</v>
      </c>
      <c r="J84" s="70">
        <f t="shared" si="0"/>
        <v>8528</v>
      </c>
      <c r="K84" s="71">
        <f t="shared" si="1"/>
        <v>1.1158824448187497</v>
      </c>
      <c r="L84" s="70">
        <f t="shared" si="2"/>
        <v>9516.2454894142975</v>
      </c>
      <c r="M84" s="70">
        <f t="shared" si="3"/>
        <v>11419.494587297157</v>
      </c>
    </row>
    <row r="85" spans="1:21" s="29" customFormat="1" x14ac:dyDescent="0.25">
      <c r="A85" s="27">
        <v>63</v>
      </c>
      <c r="B85" s="76" t="s">
        <v>199</v>
      </c>
      <c r="C85" s="237" t="s">
        <v>233</v>
      </c>
      <c r="D85" s="238"/>
      <c r="E85" s="238"/>
      <c r="F85" s="239"/>
      <c r="G85" s="62" t="s">
        <v>216</v>
      </c>
      <c r="H85" s="68">
        <v>48</v>
      </c>
      <c r="I85" s="75">
        <f>5552/H85</f>
        <v>115.66666666666667</v>
      </c>
      <c r="J85" s="70">
        <f t="shared" si="0"/>
        <v>5552</v>
      </c>
      <c r="K85" s="71">
        <f t="shared" si="1"/>
        <v>1.1158824448187497</v>
      </c>
      <c r="L85" s="70">
        <f t="shared" si="2"/>
        <v>6195.3793336336985</v>
      </c>
      <c r="M85" s="70">
        <f t="shared" si="3"/>
        <v>7434.4552003604376</v>
      </c>
    </row>
    <row r="86" spans="1:21" s="29" customFormat="1" x14ac:dyDescent="0.25">
      <c r="A86" s="27">
        <v>64</v>
      </c>
      <c r="B86" s="76" t="s">
        <v>200</v>
      </c>
      <c r="C86" s="237" t="s">
        <v>232</v>
      </c>
      <c r="D86" s="238"/>
      <c r="E86" s="238"/>
      <c r="F86" s="239"/>
      <c r="G86" s="62" t="s">
        <v>216</v>
      </c>
      <c r="H86" s="68">
        <v>48</v>
      </c>
      <c r="I86" s="75">
        <f>4101/H86</f>
        <v>85.4375</v>
      </c>
      <c r="J86" s="70">
        <f t="shared" si="0"/>
        <v>4101</v>
      </c>
      <c r="K86" s="71">
        <f t="shared" si="1"/>
        <v>1.1158824448187497</v>
      </c>
      <c r="L86" s="70">
        <f t="shared" si="2"/>
        <v>4576.2339062016927</v>
      </c>
      <c r="M86" s="70">
        <f t="shared" si="3"/>
        <v>5491.480687442031</v>
      </c>
    </row>
    <row r="87" spans="1:21" s="29" customFormat="1" x14ac:dyDescent="0.25">
      <c r="A87" s="27">
        <v>65</v>
      </c>
      <c r="B87" s="76"/>
      <c r="C87" s="237" t="s">
        <v>231</v>
      </c>
      <c r="D87" s="238"/>
      <c r="E87" s="238"/>
      <c r="F87" s="239"/>
      <c r="G87" s="62" t="s">
        <v>216</v>
      </c>
      <c r="H87" s="68">
        <v>1</v>
      </c>
      <c r="I87" s="75">
        <v>7258</v>
      </c>
      <c r="J87" s="70">
        <f t="shared" si="0"/>
        <v>7258</v>
      </c>
      <c r="K87" s="71">
        <f t="shared" si="1"/>
        <v>1.1158824448187497</v>
      </c>
      <c r="L87" s="70">
        <f t="shared" si="2"/>
        <v>8099.0747844944854</v>
      </c>
      <c r="M87" s="70">
        <f t="shared" si="3"/>
        <v>9718.8897413933828</v>
      </c>
    </row>
    <row r="88" spans="1:21" s="29" customFormat="1" x14ac:dyDescent="0.25">
      <c r="A88" s="27">
        <v>66</v>
      </c>
      <c r="B88" s="76" t="s">
        <v>201</v>
      </c>
      <c r="C88" s="237" t="s">
        <v>230</v>
      </c>
      <c r="D88" s="238"/>
      <c r="E88" s="238"/>
      <c r="F88" s="239"/>
      <c r="G88" s="62" t="s">
        <v>174</v>
      </c>
      <c r="H88" s="72">
        <v>6.7000000000000004E-2</v>
      </c>
      <c r="I88" s="75">
        <f>3781/H88</f>
        <v>56432.835820895518</v>
      </c>
      <c r="J88" s="70">
        <f t="shared" ref="J88" si="4">H88*I88</f>
        <v>3781</v>
      </c>
      <c r="K88" s="71">
        <f t="shared" ref="K88" si="5">1.06225*1.034965*1.015</f>
        <v>1.1158824448187497</v>
      </c>
      <c r="L88" s="70">
        <f t="shared" ref="L88" si="6">J88*K88</f>
        <v>4219.1515238596921</v>
      </c>
      <c r="M88" s="70">
        <f t="shared" ref="M88" si="7">L88*1.2</f>
        <v>5062.9818286316304</v>
      </c>
    </row>
    <row r="89" spans="1:21" x14ac:dyDescent="0.25">
      <c r="A89" s="30" t="s">
        <v>87</v>
      </c>
      <c r="B89" s="77"/>
      <c r="C89" s="78"/>
      <c r="D89" s="78"/>
      <c r="E89" s="78"/>
      <c r="F89" s="78"/>
      <c r="G89" s="78"/>
      <c r="H89" s="78"/>
      <c r="I89" s="79"/>
      <c r="J89" s="80">
        <f>SUM(J23:J88)</f>
        <v>777871.44</v>
      </c>
      <c r="K89" s="78"/>
      <c r="L89" s="93"/>
      <c r="M89" s="94">
        <f>SUM(M23:M88)</f>
        <v>1041577.2031591084</v>
      </c>
      <c r="O89" s="9"/>
      <c r="P89" s="7"/>
      <c r="Q89" s="6"/>
      <c r="R89" s="7"/>
      <c r="S89" s="6"/>
      <c r="T89" s="6"/>
      <c r="U89" s="8"/>
    </row>
    <row r="90" spans="1:21" x14ac:dyDescent="0.25">
      <c r="A90" s="31"/>
      <c r="B90" s="248" t="s">
        <v>88</v>
      </c>
      <c r="C90" s="248"/>
      <c r="D90" s="248"/>
      <c r="E90" s="248"/>
      <c r="F90" s="248"/>
      <c r="G90" s="81"/>
      <c r="H90" s="81"/>
      <c r="I90" s="82"/>
      <c r="J90" s="81"/>
      <c r="K90" s="81"/>
      <c r="L90" s="32"/>
      <c r="M90" s="32"/>
    </row>
    <row r="91" spans="1:21" ht="21" customHeight="1" x14ac:dyDescent="0.25">
      <c r="A91" s="24">
        <v>1</v>
      </c>
      <c r="B91" s="249" t="s">
        <v>120</v>
      </c>
      <c r="C91" s="250"/>
      <c r="D91" s="250"/>
      <c r="E91" s="250"/>
      <c r="F91" s="251"/>
      <c r="G91" s="56" t="s">
        <v>86</v>
      </c>
      <c r="H91" s="56">
        <v>1</v>
      </c>
      <c r="I91" s="66"/>
      <c r="J91" s="65"/>
      <c r="K91" s="65"/>
      <c r="L91" s="94"/>
      <c r="M91" s="95">
        <f>M27+M24+M64+M69*3+M70</f>
        <v>29495.451134427116</v>
      </c>
      <c r="N91" s="252"/>
      <c r="O91" s="252"/>
      <c r="P91" s="252"/>
      <c r="Q91" s="252"/>
      <c r="R91" s="252"/>
      <c r="S91" s="252"/>
      <c r="T91" s="252"/>
      <c r="U91" s="252"/>
    </row>
    <row r="92" spans="1:21" ht="15" customHeight="1" x14ac:dyDescent="0.25">
      <c r="A92" s="24">
        <v>2</v>
      </c>
      <c r="B92" s="253" t="s">
        <v>121</v>
      </c>
      <c r="C92" s="254"/>
      <c r="D92" s="254"/>
      <c r="E92" s="254"/>
      <c r="F92" s="255"/>
      <c r="G92" s="56" t="s">
        <v>86</v>
      </c>
      <c r="H92" s="56">
        <v>1</v>
      </c>
      <c r="I92" s="66"/>
      <c r="J92" s="65"/>
      <c r="K92" s="65"/>
      <c r="L92" s="94"/>
      <c r="M92" s="94">
        <f>M28+M24*2+M64*2+M65+M69*2*3+M71+M72</f>
        <v>59222.559464398604</v>
      </c>
      <c r="N92" s="256"/>
      <c r="O92" s="256"/>
      <c r="P92" s="256"/>
      <c r="Q92" s="256"/>
    </row>
    <row r="93" spans="1:21" x14ac:dyDescent="0.25">
      <c r="A93" s="24">
        <v>3</v>
      </c>
      <c r="B93" s="242" t="s">
        <v>122</v>
      </c>
      <c r="C93" s="243"/>
      <c r="D93" s="243"/>
      <c r="E93" s="243"/>
      <c r="F93" s="244"/>
      <c r="G93" s="56" t="s">
        <v>86</v>
      </c>
      <c r="H93" s="56">
        <v>1</v>
      </c>
      <c r="I93" s="66"/>
      <c r="J93" s="65"/>
      <c r="K93" s="65"/>
      <c r="L93" s="94"/>
      <c r="M93" s="94">
        <f>M29+M24*3+M64*3+M65*2+M69*3*3+M71+M72</f>
        <v>89135.796986165864</v>
      </c>
    </row>
    <row r="94" spans="1:21" ht="18" customHeight="1" x14ac:dyDescent="0.25">
      <c r="A94" s="24">
        <v>4</v>
      </c>
      <c r="B94" s="245" t="s">
        <v>124</v>
      </c>
      <c r="C94" s="246"/>
      <c r="D94" s="246"/>
      <c r="E94" s="246"/>
      <c r="F94" s="247"/>
      <c r="G94" s="56" t="s">
        <v>86</v>
      </c>
      <c r="H94" s="56">
        <v>1</v>
      </c>
      <c r="I94" s="66"/>
      <c r="J94" s="65"/>
      <c r="K94" s="65"/>
      <c r="L94" s="94"/>
      <c r="M94" s="94">
        <f>M25*11+M26*8+M66+SUM(M77:M86)</f>
        <v>337302.25012514275</v>
      </c>
      <c r="P94" s="33"/>
    </row>
    <row r="95" spans="1:21" ht="18" customHeight="1" x14ac:dyDescent="0.25">
      <c r="A95" s="24">
        <v>5</v>
      </c>
      <c r="B95" s="245" t="s">
        <v>125</v>
      </c>
      <c r="C95" s="246"/>
      <c r="D95" s="246"/>
      <c r="E95" s="246"/>
      <c r="F95" s="247"/>
      <c r="G95" s="56" t="s">
        <v>86</v>
      </c>
      <c r="H95" s="56">
        <v>1</v>
      </c>
      <c r="I95" s="66"/>
      <c r="J95" s="65"/>
      <c r="K95" s="65"/>
      <c r="L95" s="94"/>
      <c r="M95" s="94">
        <f>M25*11+M26*8+M67+SUM(M77:M86)</f>
        <v>301803.79779056867</v>
      </c>
    </row>
    <row r="96" spans="1:21" ht="18" customHeight="1" x14ac:dyDescent="0.25">
      <c r="A96" s="24">
        <v>6</v>
      </c>
      <c r="B96" s="245" t="s">
        <v>126</v>
      </c>
      <c r="C96" s="246"/>
      <c r="D96" s="246"/>
      <c r="E96" s="246"/>
      <c r="F96" s="247"/>
      <c r="G96" s="56" t="s">
        <v>86</v>
      </c>
      <c r="H96" s="56">
        <v>1</v>
      </c>
      <c r="I96" s="66"/>
      <c r="J96" s="65"/>
      <c r="K96" s="65"/>
      <c r="L96" s="94"/>
      <c r="M96" s="94">
        <f>M25*11+M26*8+M68+SUM(M77:M86)</f>
        <v>392040.30122030375</v>
      </c>
    </row>
    <row r="97" spans="1:16" ht="18" customHeight="1" x14ac:dyDescent="0.25">
      <c r="A97" s="24">
        <v>7</v>
      </c>
      <c r="B97" s="245" t="s">
        <v>12</v>
      </c>
      <c r="C97" s="246"/>
      <c r="D97" s="246"/>
      <c r="E97" s="246"/>
      <c r="F97" s="247"/>
      <c r="G97" s="56" t="s">
        <v>86</v>
      </c>
      <c r="H97" s="56">
        <v>1</v>
      </c>
      <c r="I97" s="66"/>
      <c r="J97" s="65"/>
      <c r="K97" s="65"/>
      <c r="L97" s="94"/>
      <c r="M97" s="94">
        <f>M59</f>
        <v>5429.8839764880358</v>
      </c>
    </row>
    <row r="98" spans="1:16" ht="18" customHeight="1" x14ac:dyDescent="0.25">
      <c r="A98" s="24">
        <v>8</v>
      </c>
      <c r="B98" s="245" t="s">
        <v>13</v>
      </c>
      <c r="C98" s="246"/>
      <c r="D98" s="246"/>
      <c r="E98" s="246"/>
      <c r="F98" s="247"/>
      <c r="G98" s="56" t="s">
        <v>86</v>
      </c>
      <c r="H98" s="56">
        <v>1</v>
      </c>
      <c r="I98" s="66"/>
      <c r="J98" s="65"/>
      <c r="K98" s="65"/>
      <c r="L98" s="94"/>
      <c r="M98" s="94">
        <f t="shared" ref="M98:M100" si="8">M60</f>
        <v>1693.909551234862</v>
      </c>
    </row>
    <row r="99" spans="1:16" ht="18" customHeight="1" x14ac:dyDescent="0.25">
      <c r="A99" s="24">
        <v>9</v>
      </c>
      <c r="B99" s="245" t="s">
        <v>14</v>
      </c>
      <c r="C99" s="246"/>
      <c r="D99" s="246"/>
      <c r="E99" s="246"/>
      <c r="F99" s="247"/>
      <c r="G99" s="56" t="s">
        <v>86</v>
      </c>
      <c r="H99" s="56">
        <v>1</v>
      </c>
      <c r="I99" s="66"/>
      <c r="J99" s="65"/>
      <c r="K99" s="65"/>
      <c r="L99" s="94"/>
      <c r="M99" s="94">
        <f t="shared" si="8"/>
        <v>4969.2477032668567</v>
      </c>
    </row>
    <row r="100" spans="1:16" ht="18" customHeight="1" x14ac:dyDescent="0.25">
      <c r="A100" s="24">
        <v>10</v>
      </c>
      <c r="B100" s="245" t="s">
        <v>15</v>
      </c>
      <c r="C100" s="246"/>
      <c r="D100" s="246"/>
      <c r="E100" s="246"/>
      <c r="F100" s="247"/>
      <c r="G100" s="56" t="s">
        <v>86</v>
      </c>
      <c r="H100" s="56">
        <v>1</v>
      </c>
      <c r="I100" s="66"/>
      <c r="J100" s="65"/>
      <c r="K100" s="65"/>
      <c r="L100" s="94"/>
      <c r="M100" s="94">
        <f t="shared" si="8"/>
        <v>7245.6478906971051</v>
      </c>
    </row>
    <row r="101" spans="1:16" ht="18" customHeight="1" x14ac:dyDescent="0.25">
      <c r="A101" s="24">
        <v>11</v>
      </c>
      <c r="B101" s="245" t="s">
        <v>123</v>
      </c>
      <c r="C101" s="246"/>
      <c r="D101" s="246"/>
      <c r="E101" s="246"/>
      <c r="F101" s="247"/>
      <c r="G101" s="56" t="s">
        <v>86</v>
      </c>
      <c r="H101" s="56">
        <v>1</v>
      </c>
      <c r="I101" s="66"/>
      <c r="J101" s="65"/>
      <c r="K101" s="65"/>
      <c r="L101" s="94"/>
      <c r="M101" s="94">
        <f>M63</f>
        <v>1932.2620414481466</v>
      </c>
    </row>
    <row r="102" spans="1:16" x14ac:dyDescent="0.25">
      <c r="A102" s="24">
        <v>12</v>
      </c>
      <c r="B102" s="245" t="s">
        <v>116</v>
      </c>
      <c r="C102" s="246"/>
      <c r="D102" s="246"/>
      <c r="E102" s="246"/>
      <c r="F102" s="247"/>
      <c r="G102" s="56" t="s">
        <v>86</v>
      </c>
      <c r="H102" s="56">
        <v>1</v>
      </c>
      <c r="I102" s="66"/>
      <c r="J102" s="65"/>
      <c r="K102" s="65"/>
      <c r="L102" s="94"/>
      <c r="M102" s="94">
        <f>M42+M43+M44+M45</f>
        <v>4677.3328557022705</v>
      </c>
    </row>
    <row r="103" spans="1:16" x14ac:dyDescent="0.25">
      <c r="A103" s="24">
        <v>13</v>
      </c>
      <c r="B103" s="245" t="s">
        <v>117</v>
      </c>
      <c r="C103" s="246"/>
      <c r="D103" s="246"/>
      <c r="E103" s="246"/>
      <c r="F103" s="247"/>
      <c r="G103" s="56" t="s">
        <v>86</v>
      </c>
      <c r="H103" s="56">
        <v>1</v>
      </c>
      <c r="I103" s="66"/>
      <c r="J103" s="65"/>
      <c r="K103" s="65"/>
      <c r="L103" s="94"/>
      <c r="M103" s="94">
        <f>M31+M32+M33+M34+M35+M36</f>
        <v>6980.514221808171</v>
      </c>
    </row>
    <row r="104" spans="1:16" ht="27" customHeight="1" x14ac:dyDescent="0.25">
      <c r="A104" s="24">
        <v>14</v>
      </c>
      <c r="B104" s="260" t="s">
        <v>19</v>
      </c>
      <c r="C104" s="261"/>
      <c r="D104" s="261"/>
      <c r="E104" s="261"/>
      <c r="F104" s="262"/>
      <c r="G104" s="56" t="s">
        <v>86</v>
      </c>
      <c r="H104" s="56">
        <v>1</v>
      </c>
      <c r="I104" s="66"/>
      <c r="J104" s="65"/>
      <c r="K104" s="65"/>
      <c r="L104" s="94"/>
      <c r="M104" s="94">
        <f>M58</f>
        <v>9315.8330023248491</v>
      </c>
    </row>
    <row r="105" spans="1:16" x14ac:dyDescent="0.25">
      <c r="A105" s="24">
        <v>15</v>
      </c>
      <c r="B105" s="257" t="s">
        <v>118</v>
      </c>
      <c r="C105" s="258"/>
      <c r="D105" s="258"/>
      <c r="E105" s="258"/>
      <c r="F105" s="259"/>
      <c r="G105" s="56" t="s">
        <v>86</v>
      </c>
      <c r="H105" s="56">
        <v>1</v>
      </c>
      <c r="I105" s="66"/>
      <c r="J105" s="65"/>
      <c r="K105" s="65"/>
      <c r="L105" s="94"/>
      <c r="M105" s="94">
        <f>M52+M53+M54+M55</f>
        <v>2038.0476972169645</v>
      </c>
    </row>
    <row r="106" spans="1:16" x14ac:dyDescent="0.25">
      <c r="A106" s="34"/>
      <c r="B106" s="54"/>
      <c r="C106" s="263"/>
      <c r="D106" s="263"/>
      <c r="E106" s="263"/>
      <c r="F106" s="263"/>
      <c r="G106" s="35"/>
      <c r="H106" s="35"/>
      <c r="I106" s="60"/>
      <c r="J106" s="36"/>
      <c r="K106" s="36"/>
      <c r="L106" s="36"/>
      <c r="M106" s="33"/>
      <c r="N106" s="33"/>
    </row>
    <row r="107" spans="1:16" s="38" customFormat="1" ht="12.75" x14ac:dyDescent="0.2">
      <c r="A107" s="264" t="s">
        <v>31</v>
      </c>
      <c r="B107" s="264"/>
      <c r="C107" s="264"/>
      <c r="D107" s="264"/>
      <c r="E107" s="264"/>
      <c r="F107" s="264"/>
      <c r="G107" s="264"/>
      <c r="H107" s="264"/>
      <c r="I107" s="264"/>
      <c r="J107" s="264"/>
      <c r="K107" s="264"/>
      <c r="L107" s="264"/>
      <c r="M107" s="264"/>
      <c r="N107" s="264"/>
      <c r="O107" s="37"/>
      <c r="P107" s="37"/>
    </row>
    <row r="108" spans="1:16" s="38" customFormat="1" ht="12.75" x14ac:dyDescent="0.2">
      <c r="A108" s="265" t="s">
        <v>32</v>
      </c>
      <c r="B108" s="265"/>
      <c r="C108" s="265"/>
      <c r="D108" s="265"/>
      <c r="E108" s="265"/>
      <c r="F108" s="265"/>
      <c r="G108" s="265"/>
      <c r="H108" s="265"/>
      <c r="I108" s="265"/>
      <c r="J108" s="265"/>
      <c r="K108" s="265"/>
      <c r="L108" s="265"/>
      <c r="M108" s="265"/>
      <c r="N108" s="265"/>
      <c r="O108" s="37"/>
      <c r="P108" s="37"/>
    </row>
    <row r="109" spans="1:16" s="38" customFormat="1" ht="12.75" x14ac:dyDescent="0.2">
      <c r="A109" s="264" t="s">
        <v>132</v>
      </c>
      <c r="B109" s="264"/>
      <c r="C109" s="264"/>
      <c r="D109" s="264"/>
      <c r="E109" s="264"/>
      <c r="F109" s="264"/>
      <c r="G109" s="264"/>
      <c r="H109" s="264"/>
      <c r="I109" s="264"/>
      <c r="J109" s="264"/>
      <c r="K109" s="264"/>
      <c r="L109" s="264"/>
      <c r="M109" s="264"/>
      <c r="N109" s="264"/>
      <c r="O109" s="37"/>
      <c r="P109" s="37"/>
    </row>
    <row r="110" spans="1:16" s="38" customFormat="1" ht="12.75" x14ac:dyDescent="0.2">
      <c r="A110" s="265" t="s">
        <v>32</v>
      </c>
      <c r="B110" s="265"/>
      <c r="C110" s="265"/>
      <c r="D110" s="265"/>
      <c r="E110" s="265"/>
      <c r="F110" s="265"/>
      <c r="G110" s="265"/>
      <c r="H110" s="265"/>
      <c r="I110" s="265"/>
      <c r="J110" s="265"/>
      <c r="K110" s="265"/>
      <c r="L110" s="265"/>
      <c r="M110" s="265"/>
      <c r="N110" s="265"/>
      <c r="O110" s="37"/>
      <c r="P110" s="37"/>
    </row>
    <row r="111" spans="1:16" x14ac:dyDescent="0.25">
      <c r="A111" s="34"/>
      <c r="B111" s="54"/>
      <c r="C111" s="263"/>
      <c r="D111" s="263"/>
      <c r="E111" s="263"/>
      <c r="F111" s="263"/>
      <c r="G111" s="35"/>
      <c r="H111" s="35"/>
      <c r="I111" s="60"/>
      <c r="J111" s="36"/>
      <c r="K111" s="36"/>
      <c r="L111" s="36"/>
      <c r="M111" s="36"/>
    </row>
    <row r="112" spans="1:16" x14ac:dyDescent="0.25">
      <c r="A112" s="34"/>
      <c r="B112" s="54"/>
      <c r="C112" s="263"/>
      <c r="D112" s="263"/>
      <c r="E112" s="263"/>
      <c r="F112" s="263"/>
      <c r="G112" s="35"/>
      <c r="H112" s="35"/>
      <c r="I112" s="60"/>
      <c r="J112" s="36"/>
      <c r="K112" s="36"/>
      <c r="L112" s="36"/>
      <c r="M112" s="36"/>
    </row>
    <row r="113" spans="1:13" x14ac:dyDescent="0.25">
      <c r="A113" s="34"/>
      <c r="B113" s="54"/>
      <c r="C113" s="263"/>
      <c r="D113" s="263"/>
      <c r="E113" s="263"/>
      <c r="F113" s="263"/>
      <c r="G113" s="35"/>
      <c r="H113" s="35"/>
      <c r="I113" s="60"/>
      <c r="J113" s="36"/>
      <c r="K113" s="36"/>
      <c r="L113" s="36"/>
      <c r="M113" s="36"/>
    </row>
    <row r="114" spans="1:13" x14ac:dyDescent="0.25">
      <c r="A114" s="34"/>
      <c r="B114" s="54"/>
      <c r="C114" s="263"/>
      <c r="D114" s="263"/>
      <c r="E114" s="263"/>
      <c r="F114" s="263"/>
      <c r="G114" s="35"/>
      <c r="H114" s="35"/>
      <c r="I114" s="60"/>
      <c r="J114" s="36"/>
      <c r="K114" s="36"/>
      <c r="L114" s="36"/>
      <c r="M114" s="36"/>
    </row>
    <row r="115" spans="1:13" x14ac:dyDescent="0.25">
      <c r="A115" s="34"/>
      <c r="B115" s="54"/>
      <c r="C115" s="263"/>
      <c r="D115" s="263"/>
      <c r="E115" s="263"/>
      <c r="F115" s="263"/>
      <c r="G115" s="35"/>
      <c r="H115" s="35"/>
      <c r="I115" s="60"/>
      <c r="J115" s="36"/>
      <c r="K115" s="36"/>
      <c r="L115" s="36"/>
      <c r="M115" s="36"/>
    </row>
    <row r="116" spans="1:13" x14ac:dyDescent="0.25">
      <c r="A116" s="34"/>
      <c r="B116" s="54"/>
      <c r="C116" s="263"/>
      <c r="D116" s="263"/>
      <c r="E116" s="263"/>
      <c r="F116" s="263"/>
      <c r="G116" s="35"/>
      <c r="H116" s="35"/>
      <c r="I116" s="60"/>
      <c r="J116" s="36"/>
      <c r="K116" s="36"/>
      <c r="L116" s="36"/>
      <c r="M116" s="36"/>
    </row>
    <row r="117" spans="1:13" x14ac:dyDescent="0.25">
      <c r="A117" s="34"/>
      <c r="B117" s="54"/>
      <c r="C117" s="263"/>
      <c r="D117" s="263"/>
      <c r="E117" s="263"/>
      <c r="F117" s="263"/>
      <c r="G117" s="35"/>
      <c r="H117" s="35"/>
      <c r="I117" s="60"/>
      <c r="J117" s="36"/>
      <c r="K117" s="36"/>
      <c r="L117" s="36"/>
      <c r="M117" s="36"/>
    </row>
    <row r="118" spans="1:13" x14ac:dyDescent="0.25">
      <c r="A118" s="34"/>
      <c r="B118" s="54"/>
      <c r="C118" s="263"/>
      <c r="D118" s="263"/>
      <c r="E118" s="263"/>
      <c r="F118" s="263"/>
      <c r="G118" s="35"/>
      <c r="H118" s="35"/>
      <c r="I118" s="60"/>
      <c r="J118" s="36"/>
      <c r="K118" s="36"/>
      <c r="L118" s="36"/>
      <c r="M118" s="36"/>
    </row>
    <row r="119" spans="1:13" x14ac:dyDescent="0.25">
      <c r="A119" s="34"/>
      <c r="B119" s="54"/>
      <c r="C119" s="263"/>
      <c r="D119" s="263"/>
      <c r="E119" s="263"/>
      <c r="F119" s="263"/>
      <c r="G119" s="35"/>
      <c r="H119" s="35"/>
      <c r="I119" s="60"/>
      <c r="J119" s="36"/>
      <c r="K119" s="36"/>
      <c r="L119" s="36"/>
      <c r="M119" s="36"/>
    </row>
    <row r="120" spans="1:13" x14ac:dyDescent="0.25">
      <c r="A120" s="34"/>
      <c r="B120" s="54"/>
      <c r="C120" s="263"/>
      <c r="D120" s="263"/>
      <c r="E120" s="263"/>
      <c r="F120" s="263"/>
      <c r="G120" s="35"/>
      <c r="H120" s="35"/>
      <c r="I120" s="60"/>
      <c r="J120" s="36"/>
      <c r="K120" s="36"/>
      <c r="L120" s="36"/>
      <c r="M120" s="36"/>
    </row>
    <row r="121" spans="1:13" x14ac:dyDescent="0.25">
      <c r="A121" s="34"/>
      <c r="B121" s="54"/>
      <c r="C121" s="263"/>
      <c r="D121" s="263"/>
      <c r="E121" s="263"/>
      <c r="F121" s="263"/>
      <c r="G121" s="35"/>
      <c r="H121" s="35"/>
      <c r="I121" s="60"/>
      <c r="J121" s="36"/>
      <c r="K121" s="36"/>
      <c r="L121" s="36"/>
      <c r="M121" s="36"/>
    </row>
    <row r="122" spans="1:13" x14ac:dyDescent="0.25">
      <c r="A122" s="34"/>
      <c r="B122" s="54"/>
      <c r="C122" s="263"/>
      <c r="D122" s="263"/>
      <c r="E122" s="263"/>
      <c r="F122" s="263"/>
      <c r="G122" s="35"/>
      <c r="H122" s="35"/>
      <c r="I122" s="60"/>
      <c r="J122" s="36"/>
      <c r="K122" s="36"/>
      <c r="L122" s="36"/>
      <c r="M122" s="36"/>
    </row>
    <row r="123" spans="1:13" x14ac:dyDescent="0.25">
      <c r="A123" s="34"/>
      <c r="B123" s="54"/>
      <c r="C123" s="263"/>
      <c r="D123" s="263"/>
      <c r="E123" s="263"/>
      <c r="F123" s="263"/>
      <c r="G123" s="35"/>
      <c r="H123" s="35"/>
      <c r="I123" s="60"/>
      <c r="J123" s="36"/>
      <c r="K123" s="36"/>
      <c r="L123" s="36"/>
      <c r="M123" s="36"/>
    </row>
    <row r="124" spans="1:13" x14ac:dyDescent="0.25">
      <c r="A124" s="34"/>
      <c r="B124" s="54"/>
      <c r="C124" s="263"/>
      <c r="D124" s="263"/>
      <c r="E124" s="263"/>
      <c r="F124" s="263"/>
      <c r="G124" s="35"/>
      <c r="H124" s="35"/>
      <c r="I124" s="60"/>
      <c r="J124" s="36"/>
      <c r="K124" s="36"/>
      <c r="L124" s="36"/>
      <c r="M124" s="36"/>
    </row>
    <row r="125" spans="1:13" x14ac:dyDescent="0.25">
      <c r="A125" s="34"/>
      <c r="B125" s="54"/>
      <c r="C125" s="263"/>
      <c r="D125" s="263"/>
      <c r="E125" s="263"/>
      <c r="F125" s="263"/>
      <c r="G125" s="35"/>
      <c r="H125" s="35"/>
      <c r="I125" s="60"/>
      <c r="J125" s="36"/>
      <c r="K125" s="36"/>
      <c r="L125" s="36"/>
      <c r="M125" s="36"/>
    </row>
    <row r="126" spans="1:13" x14ac:dyDescent="0.25">
      <c r="A126" s="34"/>
      <c r="B126" s="54"/>
      <c r="C126" s="263"/>
      <c r="D126" s="263"/>
      <c r="E126" s="263"/>
      <c r="F126" s="263"/>
      <c r="G126" s="35"/>
      <c r="H126" s="35"/>
      <c r="I126" s="60"/>
      <c r="J126" s="36"/>
      <c r="K126" s="36"/>
      <c r="L126" s="36"/>
      <c r="M126" s="36"/>
    </row>
    <row r="127" spans="1:13" x14ac:dyDescent="0.25">
      <c r="A127" s="34"/>
      <c r="B127" s="54"/>
      <c r="C127" s="263"/>
      <c r="D127" s="263"/>
      <c r="E127" s="263"/>
      <c r="F127" s="263"/>
      <c r="G127" s="35"/>
      <c r="H127" s="35"/>
      <c r="I127" s="60"/>
      <c r="J127" s="36"/>
      <c r="K127" s="36"/>
      <c r="L127" s="36"/>
      <c r="M127" s="36"/>
    </row>
    <row r="128" spans="1:13" x14ac:dyDescent="0.25">
      <c r="A128" s="34"/>
      <c r="B128" s="54"/>
      <c r="C128" s="263"/>
      <c r="D128" s="263"/>
      <c r="E128" s="263"/>
      <c r="F128" s="263"/>
      <c r="G128" s="35"/>
      <c r="H128" s="35"/>
      <c r="I128" s="60"/>
      <c r="J128" s="36"/>
      <c r="K128" s="36"/>
      <c r="L128" s="36"/>
      <c r="M128" s="36"/>
    </row>
    <row r="129" spans="1:13" x14ac:dyDescent="0.25">
      <c r="A129" s="34"/>
      <c r="B129" s="54"/>
      <c r="C129" s="263"/>
      <c r="D129" s="263"/>
      <c r="E129" s="263"/>
      <c r="F129" s="263"/>
      <c r="G129" s="35"/>
      <c r="H129" s="35"/>
      <c r="I129" s="60"/>
      <c r="J129" s="36"/>
      <c r="K129" s="36"/>
      <c r="L129" s="36"/>
      <c r="M129" s="36"/>
    </row>
    <row r="130" spans="1:13" x14ac:dyDescent="0.25">
      <c r="A130" s="34"/>
      <c r="B130" s="54"/>
      <c r="C130" s="263"/>
      <c r="D130" s="263"/>
      <c r="E130" s="263"/>
      <c r="F130" s="263"/>
      <c r="G130" s="35"/>
      <c r="H130" s="35"/>
      <c r="I130" s="60"/>
      <c r="J130" s="36"/>
      <c r="K130" s="36"/>
      <c r="L130" s="36"/>
      <c r="M130" s="36"/>
    </row>
    <row r="131" spans="1:13" x14ac:dyDescent="0.25">
      <c r="A131" s="34"/>
      <c r="B131" s="54"/>
      <c r="C131" s="263"/>
      <c r="D131" s="263"/>
      <c r="E131" s="263"/>
      <c r="F131" s="263"/>
      <c r="G131" s="35"/>
      <c r="H131" s="35"/>
      <c r="I131" s="60"/>
      <c r="J131" s="36"/>
      <c r="K131" s="36"/>
      <c r="L131" s="36"/>
      <c r="M131" s="36"/>
    </row>
    <row r="132" spans="1:13" x14ac:dyDescent="0.25">
      <c r="A132" s="34"/>
      <c r="B132" s="54"/>
      <c r="C132" s="263"/>
      <c r="D132" s="263"/>
      <c r="E132" s="263"/>
      <c r="F132" s="263"/>
      <c r="G132" s="35"/>
      <c r="H132" s="35"/>
      <c r="I132" s="60"/>
      <c r="J132" s="36"/>
      <c r="K132" s="36"/>
      <c r="L132" s="36"/>
      <c r="M132" s="36"/>
    </row>
    <row r="133" spans="1:13" x14ac:dyDescent="0.25">
      <c r="A133" s="34"/>
      <c r="B133" s="54"/>
      <c r="C133" s="263"/>
      <c r="D133" s="263"/>
      <c r="E133" s="263"/>
      <c r="F133" s="263"/>
      <c r="G133" s="35"/>
      <c r="H133" s="35"/>
      <c r="I133" s="60"/>
      <c r="J133" s="36"/>
      <c r="K133" s="36"/>
      <c r="L133" s="36"/>
      <c r="M133" s="36"/>
    </row>
    <row r="134" spans="1:13" x14ac:dyDescent="0.25">
      <c r="A134" s="34"/>
      <c r="B134" s="54"/>
      <c r="C134" s="263"/>
      <c r="D134" s="263"/>
      <c r="E134" s="263"/>
      <c r="F134" s="263"/>
      <c r="G134" s="35"/>
      <c r="H134" s="35"/>
      <c r="I134" s="60"/>
      <c r="J134" s="36"/>
      <c r="K134" s="36"/>
      <c r="L134" s="36"/>
      <c r="M134" s="36"/>
    </row>
    <row r="135" spans="1:13" x14ac:dyDescent="0.25">
      <c r="A135" s="34"/>
      <c r="B135" s="54"/>
      <c r="C135" s="263"/>
      <c r="D135" s="263"/>
      <c r="E135" s="263"/>
      <c r="F135" s="263"/>
      <c r="G135" s="35"/>
      <c r="H135" s="35"/>
      <c r="I135" s="60"/>
      <c r="J135" s="36"/>
      <c r="K135" s="36"/>
      <c r="L135" s="36"/>
      <c r="M135" s="36"/>
    </row>
    <row r="136" spans="1:13" x14ac:dyDescent="0.25">
      <c r="A136" s="34"/>
      <c r="B136" s="54"/>
      <c r="C136" s="263"/>
      <c r="D136" s="263"/>
      <c r="E136" s="263"/>
      <c r="F136" s="263"/>
      <c r="G136" s="35"/>
      <c r="H136" s="35"/>
      <c r="I136" s="60"/>
      <c r="J136" s="36"/>
      <c r="K136" s="36"/>
      <c r="L136" s="36"/>
      <c r="M136" s="36"/>
    </row>
    <row r="137" spans="1:13" x14ac:dyDescent="0.25">
      <c r="A137" s="34"/>
      <c r="B137" s="54"/>
      <c r="C137" s="263"/>
      <c r="D137" s="263"/>
      <c r="E137" s="263"/>
      <c r="F137" s="263"/>
      <c r="G137" s="35"/>
      <c r="H137" s="35"/>
      <c r="I137" s="60"/>
      <c r="J137" s="36"/>
      <c r="K137" s="36"/>
      <c r="L137" s="36"/>
      <c r="M137" s="36"/>
    </row>
    <row r="138" spans="1:13" x14ac:dyDescent="0.25">
      <c r="A138" s="34"/>
      <c r="B138" s="54"/>
      <c r="C138" s="263"/>
      <c r="D138" s="263"/>
      <c r="E138" s="263"/>
      <c r="F138" s="263"/>
      <c r="G138" s="35"/>
      <c r="H138" s="35"/>
      <c r="I138" s="60"/>
      <c r="J138" s="36"/>
      <c r="K138" s="36"/>
      <c r="L138" s="36"/>
      <c r="M138" s="36"/>
    </row>
    <row r="139" spans="1:13" x14ac:dyDescent="0.25">
      <c r="A139" s="34"/>
      <c r="B139" s="54"/>
      <c r="C139" s="263"/>
      <c r="D139" s="263"/>
      <c r="E139" s="263"/>
      <c r="F139" s="263"/>
      <c r="G139" s="35"/>
      <c r="H139" s="35"/>
      <c r="I139" s="60"/>
      <c r="J139" s="36"/>
      <c r="K139" s="36"/>
      <c r="L139" s="36"/>
      <c r="M139" s="36"/>
    </row>
    <row r="140" spans="1:13" x14ac:dyDescent="0.25">
      <c r="A140" s="34"/>
      <c r="B140" s="54"/>
      <c r="C140" s="263"/>
      <c r="D140" s="263"/>
      <c r="E140" s="263"/>
      <c r="F140" s="263"/>
      <c r="G140" s="35"/>
      <c r="H140" s="35"/>
      <c r="I140" s="60"/>
      <c r="J140" s="36"/>
      <c r="K140" s="36"/>
      <c r="L140" s="36"/>
      <c r="M140" s="36"/>
    </row>
    <row r="141" spans="1:13" x14ac:dyDescent="0.25">
      <c r="A141" s="34"/>
      <c r="B141" s="54"/>
      <c r="C141" s="263"/>
      <c r="D141" s="263"/>
      <c r="E141" s="263"/>
      <c r="F141" s="263"/>
      <c r="G141" s="35"/>
      <c r="H141" s="35"/>
      <c r="I141" s="60"/>
      <c r="J141" s="36"/>
      <c r="K141" s="36"/>
      <c r="L141" s="36"/>
      <c r="M141" s="36"/>
    </row>
    <row r="142" spans="1:13" x14ac:dyDescent="0.25">
      <c r="A142" s="34"/>
      <c r="B142" s="54"/>
      <c r="C142" s="263"/>
      <c r="D142" s="263"/>
      <c r="E142" s="263"/>
      <c r="F142" s="263"/>
      <c r="G142" s="35"/>
      <c r="H142" s="35"/>
      <c r="I142" s="60"/>
      <c r="J142" s="36"/>
      <c r="K142" s="36"/>
      <c r="L142" s="36"/>
      <c r="M142" s="36"/>
    </row>
    <row r="143" spans="1:13" x14ac:dyDescent="0.25">
      <c r="A143" s="34"/>
      <c r="B143" s="54"/>
      <c r="C143" s="263"/>
      <c r="D143" s="263"/>
      <c r="E143" s="263"/>
      <c r="F143" s="263"/>
      <c r="G143" s="35"/>
      <c r="H143" s="35"/>
      <c r="I143" s="60"/>
      <c r="J143" s="36"/>
      <c r="K143" s="36"/>
      <c r="L143" s="36"/>
      <c r="M143" s="36"/>
    </row>
    <row r="144" spans="1:13" x14ac:dyDescent="0.25">
      <c r="A144" s="34"/>
      <c r="B144" s="54"/>
      <c r="C144" s="263"/>
      <c r="D144" s="263"/>
      <c r="E144" s="263"/>
      <c r="F144" s="263"/>
      <c r="G144" s="35"/>
      <c r="H144" s="35"/>
      <c r="I144" s="60"/>
      <c r="J144" s="36"/>
      <c r="K144" s="36"/>
      <c r="L144" s="36"/>
      <c r="M144" s="36"/>
    </row>
    <row r="145" spans="1:13" x14ac:dyDescent="0.25">
      <c r="A145" s="34"/>
      <c r="B145" s="54"/>
      <c r="C145" s="263"/>
      <c r="D145" s="263"/>
      <c r="E145" s="263"/>
      <c r="F145" s="263"/>
      <c r="G145" s="35"/>
      <c r="H145" s="35"/>
      <c r="I145" s="60"/>
      <c r="J145" s="36"/>
      <c r="K145" s="36"/>
      <c r="L145" s="36"/>
      <c r="M145" s="36"/>
    </row>
    <row r="146" spans="1:13" x14ac:dyDescent="0.25">
      <c r="A146" s="34"/>
      <c r="B146" s="54"/>
      <c r="C146" s="263"/>
      <c r="D146" s="263"/>
      <c r="E146" s="263"/>
      <c r="F146" s="263"/>
      <c r="G146" s="35"/>
      <c r="H146" s="35"/>
      <c r="I146" s="60"/>
      <c r="J146" s="36"/>
      <c r="K146" s="36"/>
      <c r="L146" s="36"/>
      <c r="M146" s="36"/>
    </row>
    <row r="147" spans="1:13" x14ac:dyDescent="0.25">
      <c r="A147" s="34"/>
      <c r="B147" s="54"/>
      <c r="C147" s="263"/>
      <c r="D147" s="263"/>
      <c r="E147" s="263"/>
      <c r="F147" s="263"/>
      <c r="G147" s="35"/>
      <c r="H147" s="35"/>
      <c r="I147" s="60"/>
      <c r="J147" s="36"/>
      <c r="K147" s="36"/>
      <c r="L147" s="36"/>
      <c r="M147" s="36"/>
    </row>
    <row r="148" spans="1:13" x14ac:dyDescent="0.25">
      <c r="A148" s="34"/>
      <c r="B148" s="54"/>
      <c r="C148" s="263"/>
      <c r="D148" s="263"/>
      <c r="E148" s="263"/>
      <c r="F148" s="263"/>
      <c r="G148" s="35"/>
      <c r="H148" s="35"/>
      <c r="I148" s="60"/>
      <c r="J148" s="36"/>
      <c r="K148" s="36"/>
      <c r="L148" s="36"/>
      <c r="M148" s="36"/>
    </row>
    <row r="149" spans="1:13" x14ac:dyDescent="0.25">
      <c r="A149" s="34"/>
      <c r="B149" s="54"/>
      <c r="C149" s="263"/>
      <c r="D149" s="263"/>
      <c r="E149" s="263"/>
      <c r="F149" s="263"/>
      <c r="G149" s="35"/>
      <c r="H149" s="35"/>
      <c r="I149" s="60"/>
      <c r="J149" s="36"/>
      <c r="K149" s="36"/>
      <c r="L149" s="36"/>
      <c r="M149" s="36"/>
    </row>
    <row r="150" spans="1:13" x14ac:dyDescent="0.25">
      <c r="A150" s="34"/>
      <c r="B150" s="54"/>
      <c r="C150" s="263"/>
      <c r="D150" s="263"/>
      <c r="E150" s="263"/>
      <c r="F150" s="263"/>
      <c r="G150" s="35"/>
      <c r="H150" s="35"/>
      <c r="I150" s="60"/>
      <c r="J150" s="36"/>
      <c r="K150" s="36"/>
      <c r="L150" s="36"/>
      <c r="M150" s="36"/>
    </row>
    <row r="151" spans="1:13" x14ac:dyDescent="0.25">
      <c r="A151" s="34"/>
      <c r="B151" s="54"/>
      <c r="C151" s="263"/>
      <c r="D151" s="263"/>
      <c r="E151" s="263"/>
      <c r="F151" s="263"/>
      <c r="G151" s="35"/>
      <c r="H151" s="35"/>
      <c r="I151" s="60"/>
      <c r="J151" s="36"/>
      <c r="K151" s="36"/>
      <c r="L151" s="36"/>
      <c r="M151" s="36"/>
    </row>
    <row r="152" spans="1:13" x14ac:dyDescent="0.25">
      <c r="A152" s="34"/>
      <c r="B152" s="54"/>
      <c r="C152" s="263"/>
      <c r="D152" s="263"/>
      <c r="E152" s="263"/>
      <c r="F152" s="263"/>
      <c r="G152" s="35"/>
      <c r="H152" s="35"/>
      <c r="I152" s="60"/>
      <c r="J152" s="36"/>
      <c r="K152" s="36"/>
      <c r="L152" s="36"/>
      <c r="M152" s="36"/>
    </row>
    <row r="153" spans="1:13" x14ac:dyDescent="0.25">
      <c r="A153" s="34"/>
      <c r="B153" s="54"/>
      <c r="C153" s="263"/>
      <c r="D153" s="263"/>
      <c r="E153" s="263"/>
      <c r="F153" s="263"/>
      <c r="G153" s="35"/>
      <c r="H153" s="35"/>
      <c r="I153" s="60"/>
      <c r="J153" s="36"/>
      <c r="K153" s="36"/>
      <c r="L153" s="36"/>
      <c r="M153" s="36"/>
    </row>
    <row r="154" spans="1:13" x14ac:dyDescent="0.25">
      <c r="A154" s="34"/>
      <c r="B154" s="54"/>
      <c r="C154" s="263"/>
      <c r="D154" s="263"/>
      <c r="E154" s="263"/>
      <c r="F154" s="263"/>
      <c r="G154" s="35"/>
      <c r="H154" s="35"/>
      <c r="I154" s="60"/>
      <c r="J154" s="36"/>
      <c r="K154" s="36"/>
      <c r="L154" s="36"/>
      <c r="M154" s="36"/>
    </row>
    <row r="155" spans="1:13" x14ac:dyDescent="0.25">
      <c r="A155" s="34"/>
      <c r="B155" s="54"/>
      <c r="C155" s="263"/>
      <c r="D155" s="263"/>
      <c r="E155" s="263"/>
      <c r="F155" s="263"/>
      <c r="G155" s="35"/>
      <c r="H155" s="35"/>
      <c r="I155" s="60"/>
      <c r="J155" s="36"/>
      <c r="K155" s="36"/>
      <c r="L155" s="36"/>
      <c r="M155" s="36"/>
    </row>
    <row r="156" spans="1:13" x14ac:dyDescent="0.25">
      <c r="A156" s="34"/>
      <c r="B156" s="54"/>
      <c r="C156" s="263"/>
      <c r="D156" s="263"/>
      <c r="E156" s="263"/>
      <c r="F156" s="263"/>
      <c r="G156" s="35"/>
      <c r="H156" s="35"/>
      <c r="I156" s="60"/>
      <c r="J156" s="36"/>
      <c r="K156" s="36"/>
      <c r="L156" s="36"/>
      <c r="M156" s="36"/>
    </row>
    <row r="157" spans="1:13" x14ac:dyDescent="0.25">
      <c r="A157" s="34"/>
      <c r="B157" s="54"/>
      <c r="C157" s="263"/>
      <c r="D157" s="263"/>
      <c r="E157" s="263"/>
      <c r="F157" s="263"/>
      <c r="G157" s="35"/>
      <c r="H157" s="35"/>
      <c r="I157" s="60"/>
      <c r="J157" s="36"/>
      <c r="K157" s="36"/>
      <c r="L157" s="36"/>
      <c r="M157" s="36"/>
    </row>
    <row r="158" spans="1:13" x14ac:dyDescent="0.25">
      <c r="A158" s="34"/>
      <c r="B158" s="54"/>
      <c r="C158" s="263"/>
      <c r="D158" s="263"/>
      <c r="E158" s="263"/>
      <c r="F158" s="263"/>
      <c r="G158" s="35"/>
      <c r="H158" s="35"/>
      <c r="I158" s="60"/>
      <c r="J158" s="36"/>
      <c r="K158" s="36"/>
      <c r="L158" s="36"/>
      <c r="M158" s="36"/>
    </row>
    <row r="159" spans="1:13" x14ac:dyDescent="0.25">
      <c r="A159" s="34"/>
      <c r="B159" s="54"/>
      <c r="C159" s="263"/>
      <c r="D159" s="263"/>
      <c r="E159" s="263"/>
      <c r="F159" s="263"/>
      <c r="G159" s="35"/>
      <c r="H159" s="35"/>
      <c r="I159" s="60"/>
      <c r="J159" s="36"/>
      <c r="K159" s="36"/>
      <c r="L159" s="36"/>
      <c r="M159" s="36"/>
    </row>
    <row r="160" spans="1:13" x14ac:dyDescent="0.25">
      <c r="A160" s="34"/>
      <c r="B160" s="54"/>
      <c r="C160" s="263"/>
      <c r="D160" s="263"/>
      <c r="E160" s="263"/>
      <c r="F160" s="263"/>
      <c r="G160" s="35"/>
      <c r="H160" s="35"/>
      <c r="I160" s="60"/>
      <c r="J160" s="36"/>
      <c r="K160" s="36"/>
      <c r="L160" s="36"/>
      <c r="M160" s="36"/>
    </row>
    <row r="161" spans="1:13" x14ac:dyDescent="0.25">
      <c r="A161" s="39"/>
      <c r="C161" s="266"/>
      <c r="D161" s="266"/>
      <c r="E161" s="266"/>
      <c r="F161" s="266"/>
      <c r="G161" s="39"/>
      <c r="H161" s="39"/>
      <c r="I161" s="61"/>
      <c r="J161" s="39"/>
      <c r="K161" s="39"/>
      <c r="L161" s="39"/>
      <c r="M161" s="39"/>
    </row>
    <row r="162" spans="1:13" x14ac:dyDescent="0.25">
      <c r="A162" s="39"/>
      <c r="C162" s="266"/>
      <c r="D162" s="266"/>
      <c r="E162" s="266"/>
      <c r="F162" s="266"/>
      <c r="G162" s="39"/>
      <c r="H162" s="39"/>
      <c r="I162" s="61"/>
      <c r="J162" s="39"/>
      <c r="K162" s="39"/>
      <c r="L162" s="39"/>
      <c r="M162" s="39"/>
    </row>
    <row r="163" spans="1:13" x14ac:dyDescent="0.25">
      <c r="C163" s="266"/>
      <c r="D163" s="266"/>
      <c r="E163" s="266"/>
      <c r="F163" s="266"/>
      <c r="G163" s="39"/>
      <c r="H163" s="39"/>
      <c r="I163" s="61"/>
      <c r="J163" s="39"/>
      <c r="K163" s="39"/>
      <c r="L163" s="39"/>
      <c r="M163" s="39"/>
    </row>
    <row r="164" spans="1:13" x14ac:dyDescent="0.25">
      <c r="C164" s="266"/>
      <c r="D164" s="266"/>
      <c r="E164" s="266"/>
      <c r="F164" s="266"/>
      <c r="G164" s="39"/>
      <c r="H164" s="39"/>
      <c r="I164" s="61"/>
      <c r="J164" s="39"/>
      <c r="K164" s="39"/>
      <c r="L164" s="39"/>
      <c r="M164" s="39"/>
    </row>
    <row r="165" spans="1:13" x14ac:dyDescent="0.25">
      <c r="C165" s="266"/>
      <c r="D165" s="266"/>
      <c r="E165" s="266"/>
      <c r="F165" s="266"/>
      <c r="G165" s="39"/>
      <c r="H165" s="39"/>
      <c r="I165" s="61"/>
      <c r="J165" s="39"/>
      <c r="K165" s="39"/>
      <c r="L165" s="39"/>
      <c r="M165" s="39"/>
    </row>
    <row r="166" spans="1:13" x14ac:dyDescent="0.25">
      <c r="C166" s="266"/>
      <c r="D166" s="266"/>
      <c r="E166" s="266"/>
      <c r="F166" s="266"/>
      <c r="G166" s="39"/>
      <c r="H166" s="39"/>
      <c r="I166" s="61"/>
      <c r="J166" s="39"/>
      <c r="K166" s="39"/>
      <c r="L166" s="39"/>
      <c r="M166" s="39"/>
    </row>
    <row r="167" spans="1:13" x14ac:dyDescent="0.25">
      <c r="C167" s="266"/>
      <c r="D167" s="266"/>
      <c r="E167" s="266"/>
      <c r="F167" s="266"/>
      <c r="G167" s="39"/>
      <c r="H167" s="39"/>
      <c r="I167" s="61"/>
      <c r="J167" s="39"/>
      <c r="K167" s="39"/>
      <c r="L167" s="39"/>
      <c r="M167" s="39"/>
    </row>
    <row r="168" spans="1:13" x14ac:dyDescent="0.25">
      <c r="C168" s="266"/>
      <c r="D168" s="266"/>
      <c r="E168" s="266"/>
      <c r="F168" s="266"/>
      <c r="G168" s="39"/>
      <c r="H168" s="39"/>
      <c r="I168" s="61"/>
      <c r="J168" s="39"/>
      <c r="K168" s="39"/>
      <c r="L168" s="39"/>
      <c r="M168" s="39"/>
    </row>
  </sheetData>
  <mergeCells count="163">
    <mergeCell ref="C88:F88"/>
    <mergeCell ref="C83:F83"/>
    <mergeCell ref="C84:F84"/>
    <mergeCell ref="C85:F85"/>
    <mergeCell ref="C86:F86"/>
    <mergeCell ref="C87:F87"/>
    <mergeCell ref="A6:M6"/>
    <mergeCell ref="C23:F23"/>
    <mergeCell ref="C22:F22"/>
    <mergeCell ref="C81:F81"/>
    <mergeCell ref="C82:F82"/>
    <mergeCell ref="C75:F75"/>
    <mergeCell ref="C76:F76"/>
    <mergeCell ref="C77:F77"/>
    <mergeCell ref="C78:F78"/>
    <mergeCell ref="C79:F79"/>
    <mergeCell ref="C80:F80"/>
    <mergeCell ref="C69:F69"/>
    <mergeCell ref="C70:F70"/>
    <mergeCell ref="C71:F71"/>
    <mergeCell ref="C72:F72"/>
    <mergeCell ref="C73:F73"/>
    <mergeCell ref="C74:F74"/>
    <mergeCell ref="C63:F63"/>
    <mergeCell ref="C164:F164"/>
    <mergeCell ref="C165:F165"/>
    <mergeCell ref="C166:F166"/>
    <mergeCell ref="C167:F167"/>
    <mergeCell ref="C168:F168"/>
    <mergeCell ref="C158:F158"/>
    <mergeCell ref="C159:F159"/>
    <mergeCell ref="C160:F160"/>
    <mergeCell ref="C161:F161"/>
    <mergeCell ref="C162:F162"/>
    <mergeCell ref="C163:F163"/>
    <mergeCell ref="C152:F152"/>
    <mergeCell ref="C153:F153"/>
    <mergeCell ref="C154:F154"/>
    <mergeCell ref="C155:F155"/>
    <mergeCell ref="C156:F156"/>
    <mergeCell ref="C157:F157"/>
    <mergeCell ref="C146:F146"/>
    <mergeCell ref="C147:F147"/>
    <mergeCell ref="C148:F148"/>
    <mergeCell ref="C149:F149"/>
    <mergeCell ref="C150:F150"/>
    <mergeCell ref="C151:F151"/>
    <mergeCell ref="C140:F140"/>
    <mergeCell ref="C141:F141"/>
    <mergeCell ref="C142:F142"/>
    <mergeCell ref="C143:F143"/>
    <mergeCell ref="C144:F144"/>
    <mergeCell ref="C145:F145"/>
    <mergeCell ref="C134:F134"/>
    <mergeCell ref="C135:F135"/>
    <mergeCell ref="C136:F136"/>
    <mergeCell ref="C137:F137"/>
    <mergeCell ref="C138:F138"/>
    <mergeCell ref="C139:F139"/>
    <mergeCell ref="C128:F128"/>
    <mergeCell ref="C129:F129"/>
    <mergeCell ref="C130:F130"/>
    <mergeCell ref="C131:F131"/>
    <mergeCell ref="C132:F132"/>
    <mergeCell ref="C133:F133"/>
    <mergeCell ref="C122:F122"/>
    <mergeCell ref="C123:F123"/>
    <mergeCell ref="C124:F124"/>
    <mergeCell ref="C125:F125"/>
    <mergeCell ref="C126:F126"/>
    <mergeCell ref="C127:F127"/>
    <mergeCell ref="C116:F116"/>
    <mergeCell ref="C117:F117"/>
    <mergeCell ref="C118:F118"/>
    <mergeCell ref="C119:F119"/>
    <mergeCell ref="C120:F120"/>
    <mergeCell ref="C121:F121"/>
    <mergeCell ref="A110:N110"/>
    <mergeCell ref="C111:F111"/>
    <mergeCell ref="C112:F112"/>
    <mergeCell ref="C113:F113"/>
    <mergeCell ref="C114:F114"/>
    <mergeCell ref="C115:F115"/>
    <mergeCell ref="B105:F105"/>
    <mergeCell ref="B104:F104"/>
    <mergeCell ref="C106:F106"/>
    <mergeCell ref="A107:N107"/>
    <mergeCell ref="A108:N108"/>
    <mergeCell ref="A109:N109"/>
    <mergeCell ref="B99:F99"/>
    <mergeCell ref="B100:F100"/>
    <mergeCell ref="B101:F101"/>
    <mergeCell ref="B102:F102"/>
    <mergeCell ref="B103:F103"/>
    <mergeCell ref="B93:F93"/>
    <mergeCell ref="B94:F94"/>
    <mergeCell ref="B95:F95"/>
    <mergeCell ref="B96:F96"/>
    <mergeCell ref="B97:F97"/>
    <mergeCell ref="B98:F98"/>
    <mergeCell ref="B90:F90"/>
    <mergeCell ref="B91:F91"/>
    <mergeCell ref="N91:U91"/>
    <mergeCell ref="B92:F92"/>
    <mergeCell ref="N92:Q92"/>
    <mergeCell ref="C64:F64"/>
    <mergeCell ref="C65:F65"/>
    <mergeCell ref="C66:F66"/>
    <mergeCell ref="C67:F67"/>
    <mergeCell ref="C68:F68"/>
    <mergeCell ref="C57:F57"/>
    <mergeCell ref="C58:F58"/>
    <mergeCell ref="C59:F59"/>
    <mergeCell ref="C60:F60"/>
    <mergeCell ref="C61:F61"/>
    <mergeCell ref="C62:F62"/>
    <mergeCell ref="C51:F51"/>
    <mergeCell ref="C52:F52"/>
    <mergeCell ref="C53:F53"/>
    <mergeCell ref="C54:F54"/>
    <mergeCell ref="C55:F55"/>
    <mergeCell ref="C56:F56"/>
    <mergeCell ref="C46:F46"/>
    <mergeCell ref="C47:F47"/>
    <mergeCell ref="C48:F48"/>
    <mergeCell ref="C49:F49"/>
    <mergeCell ref="C50:F50"/>
    <mergeCell ref="C40:F40"/>
    <mergeCell ref="C41:F41"/>
    <mergeCell ref="C42:F42"/>
    <mergeCell ref="C43:F43"/>
    <mergeCell ref="C44:F44"/>
    <mergeCell ref="C45:F45"/>
    <mergeCell ref="C34:F34"/>
    <mergeCell ref="C35:F35"/>
    <mergeCell ref="C36:F36"/>
    <mergeCell ref="C37:F37"/>
    <mergeCell ref="C38:F38"/>
    <mergeCell ref="C39:F39"/>
    <mergeCell ref="C28:F28"/>
    <mergeCell ref="C29:F29"/>
    <mergeCell ref="C30:F30"/>
    <mergeCell ref="C31:F31"/>
    <mergeCell ref="C32:F32"/>
    <mergeCell ref="C33:F33"/>
    <mergeCell ref="C21:F21"/>
    <mergeCell ref="C24:F24"/>
    <mergeCell ref="C25:F25"/>
    <mergeCell ref="C26:F26"/>
    <mergeCell ref="C27:F27"/>
    <mergeCell ref="A16:G16"/>
    <mergeCell ref="H16:M16"/>
    <mergeCell ref="A17:G17"/>
    <mergeCell ref="H17:M17"/>
    <mergeCell ref="A18:G18"/>
    <mergeCell ref="H18:M18"/>
    <mergeCell ref="A7:M7"/>
    <mergeCell ref="A8:M8"/>
    <mergeCell ref="A13:M13"/>
    <mergeCell ref="A14:G14"/>
    <mergeCell ref="H14:M14"/>
    <mergeCell ref="A15:G15"/>
    <mergeCell ref="H15:M15"/>
  </mergeCells>
  <pageMargins left="0.7" right="0.7" top="0.75" bottom="0.75" header="0.3" footer="0.3"/>
  <pageSetup paperSize="9" scale="88" orientation="landscape" r:id="rId1"/>
  <rowBreaks count="2" manualBreakCount="2">
    <brk id="65" max="13" man="1"/>
    <brk id="90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150"/>
  <sheetViews>
    <sheetView view="pageBreakPreview" zoomScale="85" zoomScaleNormal="55" zoomScaleSheetLayoutView="85" zoomScalePageLayoutView="55" workbookViewId="0">
      <selection activeCell="H16" sqref="H16:N16"/>
    </sheetView>
  </sheetViews>
  <sheetFormatPr defaultRowHeight="15" x14ac:dyDescent="0.25"/>
  <cols>
    <col min="1" max="1" width="4.5703125" style="12" customWidth="1"/>
    <col min="2" max="2" width="22.28515625" style="12" customWidth="1"/>
    <col min="3" max="5" width="9.140625" style="12"/>
    <col min="6" max="6" width="34" style="12" customWidth="1"/>
    <col min="7" max="7" width="10.42578125" style="12" customWidth="1"/>
    <col min="8" max="8" width="11.7109375" style="12" customWidth="1"/>
    <col min="9" max="9" width="12" style="29" customWidth="1"/>
    <col min="10" max="10" width="9.85546875" style="12" customWidth="1"/>
    <col min="11" max="11" width="10.7109375" style="12" customWidth="1"/>
    <col min="12" max="12" width="13" style="12" customWidth="1"/>
    <col min="13" max="13" width="14.140625" style="12" customWidth="1"/>
    <col min="14" max="14" width="9.140625" style="12" hidden="1" customWidth="1"/>
    <col min="15" max="16384" width="9.140625" style="12"/>
  </cols>
  <sheetData>
    <row r="1" spans="1:14" x14ac:dyDescent="0.25">
      <c r="M1" s="17" t="s">
        <v>89</v>
      </c>
    </row>
    <row r="2" spans="1:14" x14ac:dyDescent="0.25">
      <c r="M2" s="17" t="s">
        <v>46</v>
      </c>
      <c r="N2" s="17" t="s">
        <v>45</v>
      </c>
    </row>
    <row r="3" spans="1:14" x14ac:dyDescent="0.25">
      <c r="M3" s="17"/>
      <c r="N3" s="17" t="s">
        <v>35</v>
      </c>
    </row>
    <row r="4" spans="1:14" x14ac:dyDescent="0.25">
      <c r="N4" s="17" t="s">
        <v>47</v>
      </c>
    </row>
    <row r="5" spans="1:14" x14ac:dyDescent="0.25">
      <c r="K5" s="269" t="s">
        <v>103</v>
      </c>
      <c r="L5" s="269"/>
      <c r="M5" s="269"/>
    </row>
    <row r="6" spans="1:14" x14ac:dyDescent="0.25">
      <c r="A6" s="227" t="s">
        <v>36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  <c r="L6" s="227"/>
      <c r="M6" s="227"/>
      <c r="N6" s="18"/>
    </row>
    <row r="7" spans="1:14" x14ac:dyDescent="0.25">
      <c r="A7" s="227" t="s">
        <v>37</v>
      </c>
      <c r="B7" s="227"/>
      <c r="C7" s="227"/>
      <c r="D7" s="227"/>
      <c r="E7" s="227"/>
      <c r="F7" s="227"/>
      <c r="G7" s="227"/>
      <c r="H7" s="227"/>
      <c r="I7" s="227"/>
      <c r="J7" s="227"/>
      <c r="K7" s="227"/>
      <c r="L7" s="227"/>
      <c r="M7" s="227"/>
      <c r="N7" s="227"/>
    </row>
    <row r="8" spans="1:14" x14ac:dyDescent="0.25">
      <c r="A8" s="228" t="s">
        <v>281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</row>
    <row r="10" spans="1:14" x14ac:dyDescent="0.25">
      <c r="A10" s="12" t="s">
        <v>280</v>
      </c>
    </row>
    <row r="11" spans="1:14" x14ac:dyDescent="0.25">
      <c r="A11" s="12" t="s">
        <v>90</v>
      </c>
    </row>
    <row r="12" spans="1:14" ht="15.75" thickBot="1" x14ac:dyDescent="0.3"/>
    <row r="13" spans="1:14" x14ac:dyDescent="0.25">
      <c r="A13" s="229" t="s">
        <v>49</v>
      </c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30"/>
      <c r="N13" s="270"/>
    </row>
    <row r="14" spans="1:14" x14ac:dyDescent="0.25">
      <c r="A14" s="231" t="s">
        <v>107</v>
      </c>
      <c r="B14" s="232"/>
      <c r="C14" s="232"/>
      <c r="D14" s="232"/>
      <c r="E14" s="232"/>
      <c r="F14" s="232"/>
      <c r="G14" s="232"/>
      <c r="H14" s="232" t="s">
        <v>106</v>
      </c>
      <c r="I14" s="232"/>
      <c r="J14" s="232"/>
      <c r="K14" s="232"/>
      <c r="L14" s="232"/>
      <c r="M14" s="232"/>
      <c r="N14" s="267"/>
    </row>
    <row r="15" spans="1:14" x14ac:dyDescent="0.25">
      <c r="A15" s="231" t="s">
        <v>287</v>
      </c>
      <c r="B15" s="232"/>
      <c r="C15" s="232"/>
      <c r="D15" s="232"/>
      <c r="E15" s="232"/>
      <c r="F15" s="232"/>
      <c r="G15" s="232"/>
      <c r="H15" s="232" t="s">
        <v>286</v>
      </c>
      <c r="I15" s="232"/>
      <c r="J15" s="232"/>
      <c r="K15" s="232"/>
      <c r="L15" s="232"/>
      <c r="M15" s="232"/>
      <c r="N15" s="267"/>
    </row>
    <row r="16" spans="1:14" x14ac:dyDescent="0.25">
      <c r="A16" s="217" t="s">
        <v>285</v>
      </c>
      <c r="B16" s="218"/>
      <c r="C16" s="218"/>
      <c r="D16" s="218"/>
      <c r="E16" s="218"/>
      <c r="F16" s="218"/>
      <c r="G16" s="219"/>
      <c r="H16" s="217" t="s">
        <v>285</v>
      </c>
      <c r="I16" s="218"/>
      <c r="J16" s="218"/>
      <c r="K16" s="218"/>
      <c r="L16" s="218"/>
      <c r="M16" s="218"/>
      <c r="N16" s="268"/>
    </row>
    <row r="17" spans="1:14" x14ac:dyDescent="0.25">
      <c r="A17" s="96" t="s">
        <v>288</v>
      </c>
      <c r="B17" s="97"/>
      <c r="C17" s="97"/>
      <c r="D17" s="97"/>
      <c r="E17" s="97"/>
      <c r="F17" s="97"/>
      <c r="G17" s="98"/>
      <c r="H17" s="218" t="s">
        <v>282</v>
      </c>
      <c r="I17" s="218"/>
      <c r="J17" s="218"/>
      <c r="K17" s="218"/>
      <c r="L17" s="218"/>
      <c r="M17" s="218"/>
      <c r="N17" s="268"/>
    </row>
    <row r="18" spans="1:14" ht="15.75" thickBot="1" x14ac:dyDescent="0.3">
      <c r="A18" s="223" t="s">
        <v>282</v>
      </c>
      <c r="B18" s="224"/>
      <c r="C18" s="224"/>
      <c r="D18" s="224"/>
      <c r="E18" s="224"/>
      <c r="F18" s="224"/>
      <c r="G18" s="224"/>
      <c r="H18" s="181"/>
      <c r="I18" s="182"/>
      <c r="J18" s="181"/>
      <c r="K18" s="181"/>
      <c r="L18" s="181"/>
      <c r="M18" s="181"/>
      <c r="N18" s="183"/>
    </row>
    <row r="19" spans="1:14" x14ac:dyDescent="0.25">
      <c r="A19" s="40"/>
      <c r="B19" s="40"/>
      <c r="C19" s="40"/>
      <c r="D19" s="40"/>
      <c r="E19" s="40"/>
      <c r="F19" s="40"/>
      <c r="G19" s="40"/>
      <c r="H19" s="274"/>
      <c r="I19" s="274"/>
      <c r="J19" s="274"/>
      <c r="K19" s="274"/>
      <c r="L19" s="274"/>
      <c r="M19" s="274"/>
      <c r="N19" s="274"/>
    </row>
    <row r="20" spans="1:14" s="22" customFormat="1" ht="45" x14ac:dyDescent="0.25">
      <c r="A20" s="101" t="s">
        <v>51</v>
      </c>
      <c r="B20" s="101" t="s">
        <v>52</v>
      </c>
      <c r="C20" s="234" t="s">
        <v>53</v>
      </c>
      <c r="D20" s="234"/>
      <c r="E20" s="234"/>
      <c r="F20" s="234"/>
      <c r="G20" s="101" t="s">
        <v>54</v>
      </c>
      <c r="H20" s="101" t="s">
        <v>55</v>
      </c>
      <c r="I20" s="62" t="s">
        <v>293</v>
      </c>
      <c r="J20" s="101" t="s">
        <v>57</v>
      </c>
      <c r="K20" s="101" t="s">
        <v>58</v>
      </c>
      <c r="L20" s="101" t="s">
        <v>59</v>
      </c>
      <c r="M20" s="101" t="s">
        <v>276</v>
      </c>
    </row>
    <row r="21" spans="1:14" x14ac:dyDescent="0.25">
      <c r="A21" s="100">
        <v>1</v>
      </c>
      <c r="B21" s="100">
        <v>2</v>
      </c>
      <c r="C21" s="232">
        <v>3</v>
      </c>
      <c r="D21" s="232"/>
      <c r="E21" s="232"/>
      <c r="F21" s="232"/>
      <c r="G21" s="100">
        <v>4</v>
      </c>
      <c r="H21" s="100">
        <v>5</v>
      </c>
      <c r="I21" s="63">
        <v>6</v>
      </c>
      <c r="J21" s="100">
        <v>7</v>
      </c>
      <c r="K21" s="100">
        <v>8</v>
      </c>
      <c r="L21" s="100">
        <v>9</v>
      </c>
      <c r="M21" s="100">
        <v>10</v>
      </c>
    </row>
    <row r="22" spans="1:14" ht="46.5" customHeight="1" x14ac:dyDescent="0.25">
      <c r="A22" s="56">
        <v>1</v>
      </c>
      <c r="B22" s="129" t="s">
        <v>146</v>
      </c>
      <c r="C22" s="271" t="s">
        <v>61</v>
      </c>
      <c r="D22" s="272"/>
      <c r="E22" s="272"/>
      <c r="F22" s="273"/>
      <c r="G22" s="56" t="s">
        <v>180</v>
      </c>
      <c r="H22" s="130">
        <v>1</v>
      </c>
      <c r="I22" s="131">
        <v>978</v>
      </c>
      <c r="J22" s="70">
        <f>I22*H22</f>
        <v>978</v>
      </c>
      <c r="K22" s="71">
        <f>1.06225*1.034965*1.015</f>
        <v>1.1158824448187497</v>
      </c>
      <c r="L22" s="70">
        <f>J22*K22</f>
        <v>1091.3330310327372</v>
      </c>
      <c r="M22" s="70">
        <f>L22*1.2</f>
        <v>1309.5996372392844</v>
      </c>
    </row>
    <row r="23" spans="1:14" ht="46.5" customHeight="1" x14ac:dyDescent="0.25">
      <c r="A23" s="56">
        <v>2</v>
      </c>
      <c r="B23" s="129" t="s">
        <v>147</v>
      </c>
      <c r="C23" s="271" t="s">
        <v>62</v>
      </c>
      <c r="D23" s="272"/>
      <c r="E23" s="272"/>
      <c r="F23" s="273"/>
      <c r="G23" s="56" t="s">
        <v>180</v>
      </c>
      <c r="H23" s="130">
        <v>1</v>
      </c>
      <c r="I23" s="131">
        <v>334</v>
      </c>
      <c r="J23" s="70">
        <f t="shared" ref="J23:J37" si="0">I23*H23</f>
        <v>334</v>
      </c>
      <c r="K23" s="71">
        <f t="shared" ref="K23:K70" si="1">1.06225*1.034965*1.015</f>
        <v>1.1158824448187497</v>
      </c>
      <c r="L23" s="70">
        <f t="shared" ref="L23:L70" si="2">J23*K23</f>
        <v>372.7047365694624</v>
      </c>
      <c r="M23" s="70">
        <f t="shared" ref="M23:M70" si="3">L23*1.2</f>
        <v>447.24568388335484</v>
      </c>
    </row>
    <row r="24" spans="1:14" ht="48" customHeight="1" x14ac:dyDescent="0.25">
      <c r="A24" s="56">
        <v>3</v>
      </c>
      <c r="B24" s="129" t="s">
        <v>148</v>
      </c>
      <c r="C24" s="271" t="s">
        <v>63</v>
      </c>
      <c r="D24" s="272"/>
      <c r="E24" s="272"/>
      <c r="F24" s="273"/>
      <c r="G24" s="56" t="s">
        <v>180</v>
      </c>
      <c r="H24" s="130">
        <v>1</v>
      </c>
      <c r="I24" s="131">
        <v>391</v>
      </c>
      <c r="J24" s="70">
        <f t="shared" si="0"/>
        <v>391</v>
      </c>
      <c r="K24" s="71">
        <f t="shared" si="1"/>
        <v>1.1158824448187497</v>
      </c>
      <c r="L24" s="70">
        <f t="shared" si="2"/>
        <v>436.31003592413111</v>
      </c>
      <c r="M24" s="70">
        <f t="shared" si="3"/>
        <v>523.57204310895736</v>
      </c>
    </row>
    <row r="25" spans="1:14" ht="46.5" customHeight="1" x14ac:dyDescent="0.25">
      <c r="A25" s="56">
        <v>4</v>
      </c>
      <c r="B25" s="129" t="s">
        <v>149</v>
      </c>
      <c r="C25" s="271" t="s">
        <v>64</v>
      </c>
      <c r="D25" s="272"/>
      <c r="E25" s="272"/>
      <c r="F25" s="273"/>
      <c r="G25" s="56" t="s">
        <v>180</v>
      </c>
      <c r="H25" s="130">
        <v>1</v>
      </c>
      <c r="I25" s="131">
        <v>4134</v>
      </c>
      <c r="J25" s="70">
        <f t="shared" si="0"/>
        <v>4134</v>
      </c>
      <c r="K25" s="71">
        <f t="shared" si="1"/>
        <v>1.1158824448187497</v>
      </c>
      <c r="L25" s="70">
        <f t="shared" si="2"/>
        <v>4613.0580268807107</v>
      </c>
      <c r="M25" s="70">
        <f t="shared" si="3"/>
        <v>5535.6696322568523</v>
      </c>
    </row>
    <row r="26" spans="1:14" ht="57.75" customHeight="1" x14ac:dyDescent="0.25">
      <c r="A26" s="56">
        <v>5</v>
      </c>
      <c r="B26" s="129" t="s">
        <v>150</v>
      </c>
      <c r="C26" s="271" t="s">
        <v>65</v>
      </c>
      <c r="D26" s="272"/>
      <c r="E26" s="272"/>
      <c r="F26" s="273"/>
      <c r="G26" s="56" t="s">
        <v>180</v>
      </c>
      <c r="H26" s="130">
        <v>1</v>
      </c>
      <c r="I26" s="131">
        <v>8658</v>
      </c>
      <c r="J26" s="70">
        <f t="shared" si="0"/>
        <v>8658</v>
      </c>
      <c r="K26" s="71">
        <f t="shared" si="1"/>
        <v>1.1158824448187497</v>
      </c>
      <c r="L26" s="70">
        <f t="shared" si="2"/>
        <v>9661.3102072407346</v>
      </c>
      <c r="M26" s="70">
        <f t="shared" si="3"/>
        <v>11593.572248688881</v>
      </c>
    </row>
    <row r="27" spans="1:14" ht="59.25" customHeight="1" x14ac:dyDescent="0.25">
      <c r="A27" s="56">
        <v>6</v>
      </c>
      <c r="B27" s="129" t="s">
        <v>151</v>
      </c>
      <c r="C27" s="271" t="s">
        <v>66</v>
      </c>
      <c r="D27" s="272"/>
      <c r="E27" s="272"/>
      <c r="F27" s="273"/>
      <c r="G27" s="56" t="s">
        <v>180</v>
      </c>
      <c r="H27" s="130">
        <v>1</v>
      </c>
      <c r="I27" s="131">
        <v>13367</v>
      </c>
      <c r="J27" s="70">
        <f t="shared" si="0"/>
        <v>13367</v>
      </c>
      <c r="K27" s="71">
        <f t="shared" si="1"/>
        <v>1.1158824448187497</v>
      </c>
      <c r="L27" s="70">
        <f t="shared" si="2"/>
        <v>14916.000639892227</v>
      </c>
      <c r="M27" s="70">
        <f t="shared" si="3"/>
        <v>17899.200767870672</v>
      </c>
    </row>
    <row r="28" spans="1:14" ht="43.5" customHeight="1" x14ac:dyDescent="0.25">
      <c r="A28" s="56">
        <v>7</v>
      </c>
      <c r="B28" s="129" t="s">
        <v>157</v>
      </c>
      <c r="C28" s="271" t="s">
        <v>69</v>
      </c>
      <c r="D28" s="272"/>
      <c r="E28" s="272"/>
      <c r="F28" s="273"/>
      <c r="G28" s="56" t="s">
        <v>178</v>
      </c>
      <c r="H28" s="130">
        <v>0.01</v>
      </c>
      <c r="I28" s="131">
        <f>81/H28</f>
        <v>8100</v>
      </c>
      <c r="J28" s="70">
        <f t="shared" si="0"/>
        <v>81</v>
      </c>
      <c r="K28" s="71">
        <f t="shared" si="1"/>
        <v>1.1158824448187497</v>
      </c>
      <c r="L28" s="70">
        <f t="shared" si="2"/>
        <v>90.386478030318727</v>
      </c>
      <c r="M28" s="70">
        <f t="shared" si="3"/>
        <v>108.46377363638247</v>
      </c>
    </row>
    <row r="29" spans="1:14" ht="105" customHeight="1" x14ac:dyDescent="0.25">
      <c r="A29" s="56">
        <v>8</v>
      </c>
      <c r="B29" s="129" t="s">
        <v>236</v>
      </c>
      <c r="C29" s="271" t="s">
        <v>253</v>
      </c>
      <c r="D29" s="272"/>
      <c r="E29" s="272"/>
      <c r="F29" s="273"/>
      <c r="G29" s="101" t="s">
        <v>211</v>
      </c>
      <c r="H29" s="130">
        <v>1</v>
      </c>
      <c r="I29" s="131">
        <v>89474</v>
      </c>
      <c r="J29" s="70">
        <f t="shared" si="0"/>
        <v>89474</v>
      </c>
      <c r="K29" s="71">
        <f t="shared" si="1"/>
        <v>1.1158824448187497</v>
      </c>
      <c r="L29" s="70">
        <f t="shared" si="2"/>
        <v>99842.465867712803</v>
      </c>
      <c r="M29" s="70">
        <f t="shared" si="3"/>
        <v>119810.95904125535</v>
      </c>
    </row>
    <row r="30" spans="1:14" ht="46.5" customHeight="1" x14ac:dyDescent="0.25">
      <c r="A30" s="56">
        <v>9</v>
      </c>
      <c r="B30" s="129" t="s">
        <v>157</v>
      </c>
      <c r="C30" s="271" t="s">
        <v>254</v>
      </c>
      <c r="D30" s="272"/>
      <c r="E30" s="272"/>
      <c r="F30" s="273"/>
      <c r="G30" s="101" t="s">
        <v>178</v>
      </c>
      <c r="H30" s="132">
        <v>0.01</v>
      </c>
      <c r="I30" s="131">
        <f>81/H30</f>
        <v>8100</v>
      </c>
      <c r="J30" s="70">
        <f t="shared" si="0"/>
        <v>81</v>
      </c>
      <c r="K30" s="71">
        <f t="shared" si="1"/>
        <v>1.1158824448187497</v>
      </c>
      <c r="L30" s="70">
        <f t="shared" si="2"/>
        <v>90.386478030318727</v>
      </c>
      <c r="M30" s="70">
        <f t="shared" si="3"/>
        <v>108.46377363638247</v>
      </c>
    </row>
    <row r="31" spans="1:14" ht="51" customHeight="1" x14ac:dyDescent="0.25">
      <c r="A31" s="56">
        <v>10</v>
      </c>
      <c r="B31" s="129" t="s">
        <v>237</v>
      </c>
      <c r="C31" s="271" t="s">
        <v>255</v>
      </c>
      <c r="D31" s="272"/>
      <c r="E31" s="272"/>
      <c r="F31" s="273"/>
      <c r="G31" s="101" t="s">
        <v>172</v>
      </c>
      <c r="H31" s="132">
        <v>7.0000000000000007E-2</v>
      </c>
      <c r="I31" s="131">
        <f>931/H31</f>
        <v>13299.999999999998</v>
      </c>
      <c r="J31" s="70">
        <f t="shared" si="0"/>
        <v>931</v>
      </c>
      <c r="K31" s="71">
        <f t="shared" si="1"/>
        <v>1.1158824448187497</v>
      </c>
      <c r="L31" s="70">
        <f t="shared" si="2"/>
        <v>1038.886556126256</v>
      </c>
      <c r="M31" s="70">
        <f t="shared" si="3"/>
        <v>1246.6638673515072</v>
      </c>
    </row>
    <row r="32" spans="1:14" ht="49.5" customHeight="1" x14ac:dyDescent="0.25">
      <c r="A32" s="56">
        <v>11</v>
      </c>
      <c r="B32" s="129" t="s">
        <v>238</v>
      </c>
      <c r="C32" s="271" t="s">
        <v>256</v>
      </c>
      <c r="D32" s="272"/>
      <c r="E32" s="272"/>
      <c r="F32" s="273"/>
      <c r="G32" s="101" t="s">
        <v>174</v>
      </c>
      <c r="H32" s="132">
        <v>2.7650000000000001E-3</v>
      </c>
      <c r="I32" s="131">
        <f>105/H32</f>
        <v>37974.683544303793</v>
      </c>
      <c r="J32" s="70">
        <f t="shared" si="0"/>
        <v>104.99999999999999</v>
      </c>
      <c r="K32" s="71">
        <f t="shared" si="1"/>
        <v>1.1158824448187497</v>
      </c>
      <c r="L32" s="70">
        <f t="shared" si="2"/>
        <v>117.1676567059687</v>
      </c>
      <c r="M32" s="70">
        <f t="shared" si="3"/>
        <v>140.60118804716242</v>
      </c>
    </row>
    <row r="33" spans="1:13" ht="33.75" customHeight="1" x14ac:dyDescent="0.25">
      <c r="A33" s="56">
        <v>12</v>
      </c>
      <c r="B33" s="129" t="s">
        <v>155</v>
      </c>
      <c r="C33" s="271" t="s">
        <v>17</v>
      </c>
      <c r="D33" s="272"/>
      <c r="E33" s="272"/>
      <c r="F33" s="273"/>
      <c r="G33" s="101" t="s">
        <v>176</v>
      </c>
      <c r="H33" s="130">
        <v>0.1</v>
      </c>
      <c r="I33" s="131">
        <f>670/H33</f>
        <v>6700</v>
      </c>
      <c r="J33" s="70">
        <f t="shared" si="0"/>
        <v>670</v>
      </c>
      <c r="K33" s="71">
        <f t="shared" si="1"/>
        <v>1.1158824448187497</v>
      </c>
      <c r="L33" s="70">
        <f t="shared" si="2"/>
        <v>747.64123802856227</v>
      </c>
      <c r="M33" s="70">
        <f t="shared" si="3"/>
        <v>897.16948563427468</v>
      </c>
    </row>
    <row r="34" spans="1:13" ht="28.5" x14ac:dyDescent="0.25">
      <c r="A34" s="56">
        <v>13</v>
      </c>
      <c r="B34" s="129" t="s">
        <v>170</v>
      </c>
      <c r="C34" s="271" t="s">
        <v>181</v>
      </c>
      <c r="D34" s="272"/>
      <c r="E34" s="272"/>
      <c r="F34" s="273"/>
      <c r="G34" s="101" t="s">
        <v>174</v>
      </c>
      <c r="H34" s="132">
        <v>9.4249999999999994E-3</v>
      </c>
      <c r="I34" s="131">
        <f>450/H34</f>
        <v>47745.358090185677</v>
      </c>
      <c r="J34" s="70">
        <f t="shared" si="0"/>
        <v>450</v>
      </c>
      <c r="K34" s="71">
        <f t="shared" si="1"/>
        <v>1.1158824448187497</v>
      </c>
      <c r="L34" s="70">
        <f t="shared" si="2"/>
        <v>502.14710016843736</v>
      </c>
      <c r="M34" s="70">
        <f t="shared" si="3"/>
        <v>602.57652020212481</v>
      </c>
    </row>
    <row r="35" spans="1:13" ht="35.25" customHeight="1" x14ac:dyDescent="0.25">
      <c r="A35" s="56">
        <v>14</v>
      </c>
      <c r="B35" s="129" t="s">
        <v>239</v>
      </c>
      <c r="C35" s="271" t="s">
        <v>257</v>
      </c>
      <c r="D35" s="272"/>
      <c r="E35" s="272"/>
      <c r="F35" s="273"/>
      <c r="G35" s="101" t="s">
        <v>180</v>
      </c>
      <c r="H35" s="130">
        <v>1</v>
      </c>
      <c r="I35" s="133">
        <v>597</v>
      </c>
      <c r="J35" s="134">
        <f>H35*I35</f>
        <v>597</v>
      </c>
      <c r="K35" s="71">
        <f t="shared" si="1"/>
        <v>1.1158824448187497</v>
      </c>
      <c r="L35" s="70">
        <f t="shared" si="2"/>
        <v>666.18181955679358</v>
      </c>
      <c r="M35" s="70">
        <f t="shared" si="3"/>
        <v>799.41818346815228</v>
      </c>
    </row>
    <row r="36" spans="1:13" s="29" customFormat="1" ht="78" customHeight="1" x14ac:dyDescent="0.25">
      <c r="A36" s="88">
        <v>15</v>
      </c>
      <c r="B36" s="135" t="s">
        <v>240</v>
      </c>
      <c r="C36" s="275" t="s">
        <v>258</v>
      </c>
      <c r="D36" s="276"/>
      <c r="E36" s="276"/>
      <c r="F36" s="277"/>
      <c r="G36" s="62" t="s">
        <v>180</v>
      </c>
      <c r="H36" s="136">
        <v>1</v>
      </c>
      <c r="I36" s="133">
        <v>1388</v>
      </c>
      <c r="J36" s="133">
        <f t="shared" si="0"/>
        <v>1388</v>
      </c>
      <c r="K36" s="107">
        <f>1.06225*1.015</f>
        <v>1.0781837499999998</v>
      </c>
      <c r="L36" s="70">
        <f t="shared" si="2"/>
        <v>1496.5190449999998</v>
      </c>
      <c r="M36" s="70">
        <f t="shared" si="3"/>
        <v>1795.8228539999998</v>
      </c>
    </row>
    <row r="37" spans="1:13" ht="50.25" customHeight="1" x14ac:dyDescent="0.25">
      <c r="A37" s="56">
        <v>16</v>
      </c>
      <c r="B37" s="129" t="s">
        <v>161</v>
      </c>
      <c r="C37" s="271" t="s">
        <v>73</v>
      </c>
      <c r="D37" s="272"/>
      <c r="E37" s="272"/>
      <c r="F37" s="273"/>
      <c r="G37" s="101" t="s">
        <v>185</v>
      </c>
      <c r="H37" s="132">
        <v>0.01</v>
      </c>
      <c r="I37" s="133">
        <f>1071/H37</f>
        <v>107100</v>
      </c>
      <c r="J37" s="134">
        <f t="shared" si="0"/>
        <v>1071</v>
      </c>
      <c r="K37" s="71">
        <f t="shared" si="1"/>
        <v>1.1158824448187497</v>
      </c>
      <c r="L37" s="70">
        <f t="shared" si="2"/>
        <v>1195.1100984008808</v>
      </c>
      <c r="M37" s="70">
        <f t="shared" si="3"/>
        <v>1434.1321180810569</v>
      </c>
    </row>
    <row r="38" spans="1:13" ht="50.25" customHeight="1" x14ac:dyDescent="0.25">
      <c r="A38" s="56">
        <v>17</v>
      </c>
      <c r="B38" s="129" t="s">
        <v>154</v>
      </c>
      <c r="C38" s="271" t="s">
        <v>18</v>
      </c>
      <c r="D38" s="272"/>
      <c r="E38" s="272"/>
      <c r="F38" s="273"/>
      <c r="G38" s="101" t="s">
        <v>172</v>
      </c>
      <c r="H38" s="132">
        <v>0.01</v>
      </c>
      <c r="I38" s="90">
        <f>104/H38</f>
        <v>10400</v>
      </c>
      <c r="J38" s="137">
        <f t="shared" ref="J38:J53" si="4">H38*I38</f>
        <v>104</v>
      </c>
      <c r="K38" s="71">
        <f t="shared" si="1"/>
        <v>1.1158824448187497</v>
      </c>
      <c r="L38" s="70">
        <f t="shared" si="2"/>
        <v>116.05177426114996</v>
      </c>
      <c r="M38" s="70">
        <f t="shared" si="3"/>
        <v>139.26212911337996</v>
      </c>
    </row>
    <row r="39" spans="1:13" ht="39" customHeight="1" x14ac:dyDescent="0.25">
      <c r="A39" s="56">
        <v>18</v>
      </c>
      <c r="B39" s="129" t="s">
        <v>169</v>
      </c>
      <c r="C39" s="271" t="s">
        <v>182</v>
      </c>
      <c r="D39" s="272"/>
      <c r="E39" s="272"/>
      <c r="F39" s="273"/>
      <c r="G39" s="101" t="s">
        <v>174</v>
      </c>
      <c r="H39" s="132">
        <v>1.2600000000000001E-3</v>
      </c>
      <c r="I39" s="90">
        <f>62/H39</f>
        <v>49206.349206349201</v>
      </c>
      <c r="J39" s="137">
        <f t="shared" si="4"/>
        <v>61.999999999999993</v>
      </c>
      <c r="K39" s="71">
        <f t="shared" si="1"/>
        <v>1.1158824448187497</v>
      </c>
      <c r="L39" s="70">
        <f t="shared" si="2"/>
        <v>69.184711578762474</v>
      </c>
      <c r="M39" s="70">
        <f t="shared" si="3"/>
        <v>83.021653894514969</v>
      </c>
    </row>
    <row r="40" spans="1:13" ht="43.5" customHeight="1" x14ac:dyDescent="0.25">
      <c r="A40" s="56">
        <v>19</v>
      </c>
      <c r="B40" s="129" t="s">
        <v>162</v>
      </c>
      <c r="C40" s="271" t="s">
        <v>74</v>
      </c>
      <c r="D40" s="272"/>
      <c r="E40" s="272"/>
      <c r="F40" s="273"/>
      <c r="G40" s="101" t="s">
        <v>185</v>
      </c>
      <c r="H40" s="132">
        <v>0.01</v>
      </c>
      <c r="I40" s="90">
        <f>335/H40</f>
        <v>33500</v>
      </c>
      <c r="J40" s="137">
        <f t="shared" si="4"/>
        <v>335</v>
      </c>
      <c r="K40" s="71">
        <f t="shared" si="1"/>
        <v>1.1158824448187497</v>
      </c>
      <c r="L40" s="70">
        <f t="shared" si="2"/>
        <v>373.82061901428114</v>
      </c>
      <c r="M40" s="70">
        <f t="shared" si="3"/>
        <v>448.58474281713734</v>
      </c>
    </row>
    <row r="41" spans="1:13" ht="36" customHeight="1" x14ac:dyDescent="0.25">
      <c r="A41" s="56">
        <v>20</v>
      </c>
      <c r="B41" s="129" t="s">
        <v>241</v>
      </c>
      <c r="C41" s="271" t="s">
        <v>93</v>
      </c>
      <c r="D41" s="272"/>
      <c r="E41" s="272"/>
      <c r="F41" s="273"/>
      <c r="G41" s="101" t="s">
        <v>180</v>
      </c>
      <c r="H41" s="130">
        <v>1</v>
      </c>
      <c r="I41" s="90">
        <v>496</v>
      </c>
      <c r="J41" s="137">
        <f t="shared" si="4"/>
        <v>496</v>
      </c>
      <c r="K41" s="71">
        <f t="shared" si="1"/>
        <v>1.1158824448187497</v>
      </c>
      <c r="L41" s="70">
        <f t="shared" si="2"/>
        <v>553.4776926300998</v>
      </c>
      <c r="M41" s="70">
        <f t="shared" si="3"/>
        <v>664.17323115611975</v>
      </c>
    </row>
    <row r="42" spans="1:13" ht="44.25" customHeight="1" x14ac:dyDescent="0.25">
      <c r="A42" s="56">
        <v>21</v>
      </c>
      <c r="B42" s="129" t="s">
        <v>242</v>
      </c>
      <c r="C42" s="271" t="s">
        <v>259</v>
      </c>
      <c r="D42" s="272"/>
      <c r="E42" s="272"/>
      <c r="F42" s="273"/>
      <c r="G42" s="101" t="s">
        <v>260</v>
      </c>
      <c r="H42" s="132">
        <v>0.1</v>
      </c>
      <c r="I42" s="90">
        <f>80/H42</f>
        <v>800</v>
      </c>
      <c r="J42" s="137">
        <f t="shared" si="4"/>
        <v>80</v>
      </c>
      <c r="K42" s="71">
        <f t="shared" si="1"/>
        <v>1.1158824448187497</v>
      </c>
      <c r="L42" s="70">
        <f t="shared" si="2"/>
        <v>89.270595585499976</v>
      </c>
      <c r="M42" s="70">
        <f t="shared" si="3"/>
        <v>107.12471470259997</v>
      </c>
    </row>
    <row r="43" spans="1:13" ht="72.75" customHeight="1" x14ac:dyDescent="0.25">
      <c r="A43" s="56">
        <v>22</v>
      </c>
      <c r="B43" s="129" t="s">
        <v>163</v>
      </c>
      <c r="C43" s="271" t="s">
        <v>75</v>
      </c>
      <c r="D43" s="272"/>
      <c r="E43" s="272"/>
      <c r="F43" s="273"/>
      <c r="G43" s="101" t="s">
        <v>202</v>
      </c>
      <c r="H43" s="130">
        <v>1</v>
      </c>
      <c r="I43" s="90">
        <f>43580+56.06</f>
        <v>43636.06</v>
      </c>
      <c r="J43" s="137">
        <f t="shared" si="4"/>
        <v>43636.06</v>
      </c>
      <c r="K43" s="71">
        <f t="shared" si="1"/>
        <v>1.1158824448187497</v>
      </c>
      <c r="L43" s="70">
        <f t="shared" si="2"/>
        <v>48692.713315057648</v>
      </c>
      <c r="M43" s="70">
        <f t="shared" si="3"/>
        <v>58431.255978069174</v>
      </c>
    </row>
    <row r="44" spans="1:13" ht="54" customHeight="1" x14ac:dyDescent="0.25">
      <c r="A44" s="56">
        <v>23</v>
      </c>
      <c r="B44" s="129" t="s">
        <v>164</v>
      </c>
      <c r="C44" s="271" t="s">
        <v>76</v>
      </c>
      <c r="D44" s="272"/>
      <c r="E44" s="272"/>
      <c r="F44" s="273"/>
      <c r="G44" s="101" t="s">
        <v>203</v>
      </c>
      <c r="H44" s="132">
        <v>0.01</v>
      </c>
      <c r="I44" s="90">
        <f>1704/H44</f>
        <v>170400</v>
      </c>
      <c r="J44" s="137">
        <f t="shared" si="4"/>
        <v>1704</v>
      </c>
      <c r="K44" s="71">
        <f t="shared" si="1"/>
        <v>1.1158824448187497</v>
      </c>
      <c r="L44" s="70">
        <f t="shared" si="2"/>
        <v>1901.4636859711495</v>
      </c>
      <c r="M44" s="70">
        <f t="shared" si="3"/>
        <v>2281.7564231653791</v>
      </c>
    </row>
    <row r="45" spans="1:13" ht="37.5" customHeight="1" x14ac:dyDescent="0.25">
      <c r="A45" s="56">
        <v>24</v>
      </c>
      <c r="B45" s="129" t="s">
        <v>165</v>
      </c>
      <c r="C45" s="271" t="s">
        <v>77</v>
      </c>
      <c r="D45" s="272"/>
      <c r="E45" s="272"/>
      <c r="F45" s="273"/>
      <c r="G45" s="101" t="s">
        <v>178</v>
      </c>
      <c r="H45" s="132">
        <v>0.01</v>
      </c>
      <c r="I45" s="90">
        <f>56/56</f>
        <v>1</v>
      </c>
      <c r="J45" s="137">
        <f t="shared" si="4"/>
        <v>0.01</v>
      </c>
      <c r="K45" s="71">
        <f t="shared" si="1"/>
        <v>1.1158824448187497</v>
      </c>
      <c r="L45" s="70">
        <f t="shared" si="2"/>
        <v>1.1158824448187497E-2</v>
      </c>
      <c r="M45" s="70">
        <f t="shared" si="3"/>
        <v>1.3390589337824997E-2</v>
      </c>
    </row>
    <row r="46" spans="1:13" ht="66.75" customHeight="1" x14ac:dyDescent="0.25">
      <c r="A46" s="56">
        <v>25</v>
      </c>
      <c r="B46" s="129" t="s">
        <v>166</v>
      </c>
      <c r="C46" s="271" t="s">
        <v>78</v>
      </c>
      <c r="D46" s="272"/>
      <c r="E46" s="272"/>
      <c r="F46" s="273"/>
      <c r="G46" s="101" t="s">
        <v>178</v>
      </c>
      <c r="H46" s="132">
        <v>0.01</v>
      </c>
      <c r="I46" s="90">
        <f>433/H46</f>
        <v>43300</v>
      </c>
      <c r="J46" s="137">
        <f t="shared" si="4"/>
        <v>433</v>
      </c>
      <c r="K46" s="71">
        <f t="shared" si="1"/>
        <v>1.1158824448187497</v>
      </c>
      <c r="L46" s="70">
        <f t="shared" si="2"/>
        <v>483.1770986065186</v>
      </c>
      <c r="M46" s="70">
        <f t="shared" si="3"/>
        <v>579.81251832782232</v>
      </c>
    </row>
    <row r="47" spans="1:13" ht="59.25" customHeight="1" x14ac:dyDescent="0.25">
      <c r="A47" s="56">
        <v>26</v>
      </c>
      <c r="B47" s="129" t="s">
        <v>167</v>
      </c>
      <c r="C47" s="271" t="s">
        <v>261</v>
      </c>
      <c r="D47" s="272"/>
      <c r="E47" s="272"/>
      <c r="F47" s="273"/>
      <c r="G47" s="101" t="s">
        <v>180</v>
      </c>
      <c r="H47" s="130">
        <v>1</v>
      </c>
      <c r="I47" s="90">
        <v>570</v>
      </c>
      <c r="J47" s="138">
        <f t="shared" si="4"/>
        <v>570</v>
      </c>
      <c r="K47" s="71">
        <f t="shared" si="1"/>
        <v>1.1158824448187497</v>
      </c>
      <c r="L47" s="70">
        <f t="shared" si="2"/>
        <v>636.05299354668728</v>
      </c>
      <c r="M47" s="70">
        <f t="shared" si="3"/>
        <v>763.26359225602471</v>
      </c>
    </row>
    <row r="48" spans="1:13" ht="31.5" customHeight="1" x14ac:dyDescent="0.25">
      <c r="A48" s="56">
        <v>27</v>
      </c>
      <c r="B48" s="129" t="s">
        <v>243</v>
      </c>
      <c r="C48" s="271" t="s">
        <v>262</v>
      </c>
      <c r="D48" s="272"/>
      <c r="E48" s="272"/>
      <c r="F48" s="273"/>
      <c r="G48" s="101" t="s">
        <v>205</v>
      </c>
      <c r="H48" s="130">
        <v>1</v>
      </c>
      <c r="I48" s="90">
        <v>764</v>
      </c>
      <c r="J48" s="138">
        <f t="shared" si="4"/>
        <v>764</v>
      </c>
      <c r="K48" s="71">
        <f t="shared" si="1"/>
        <v>1.1158824448187497</v>
      </c>
      <c r="L48" s="70">
        <f t="shared" si="2"/>
        <v>852.53418784152473</v>
      </c>
      <c r="M48" s="70">
        <f t="shared" si="3"/>
        <v>1023.0410254098297</v>
      </c>
    </row>
    <row r="49" spans="1:13" ht="43.5" customHeight="1" x14ac:dyDescent="0.25">
      <c r="A49" s="56">
        <v>28</v>
      </c>
      <c r="B49" s="129" t="s">
        <v>291</v>
      </c>
      <c r="C49" s="271" t="s">
        <v>80</v>
      </c>
      <c r="D49" s="272"/>
      <c r="E49" s="272"/>
      <c r="F49" s="273"/>
      <c r="G49" s="139" t="s">
        <v>174</v>
      </c>
      <c r="H49" s="132">
        <v>5.5199999999999999E-2</v>
      </c>
      <c r="I49" s="140">
        <f>2124/H49</f>
        <v>38478.260869565216</v>
      </c>
      <c r="J49" s="141">
        <f t="shared" si="4"/>
        <v>2124</v>
      </c>
      <c r="K49" s="71">
        <f t="shared" si="1"/>
        <v>1.1158824448187497</v>
      </c>
      <c r="L49" s="70">
        <f t="shared" si="2"/>
        <v>2370.1343127950245</v>
      </c>
      <c r="M49" s="70">
        <f t="shared" si="3"/>
        <v>2844.1611753540292</v>
      </c>
    </row>
    <row r="50" spans="1:13" ht="35.25" customHeight="1" x14ac:dyDescent="0.25">
      <c r="A50" s="56">
        <v>29</v>
      </c>
      <c r="B50" s="129" t="s">
        <v>187</v>
      </c>
      <c r="C50" s="271" t="s">
        <v>206</v>
      </c>
      <c r="D50" s="272"/>
      <c r="E50" s="272"/>
      <c r="F50" s="273"/>
      <c r="G50" s="139" t="s">
        <v>174</v>
      </c>
      <c r="H50" s="132">
        <v>5.5199999999999999E-2</v>
      </c>
      <c r="I50" s="140">
        <f>3414/H50</f>
        <v>61847.82608695652</v>
      </c>
      <c r="J50" s="141">
        <f t="shared" si="4"/>
        <v>3414</v>
      </c>
      <c r="K50" s="71">
        <f t="shared" si="1"/>
        <v>1.1158824448187497</v>
      </c>
      <c r="L50" s="70">
        <f t="shared" si="2"/>
        <v>3809.6226666112111</v>
      </c>
      <c r="M50" s="70">
        <f t="shared" si="3"/>
        <v>4571.5471999334532</v>
      </c>
    </row>
    <row r="51" spans="1:13" ht="43.5" customHeight="1" x14ac:dyDescent="0.25">
      <c r="A51" s="56">
        <v>30</v>
      </c>
      <c r="B51" s="129" t="s">
        <v>81</v>
      </c>
      <c r="C51" s="271" t="s">
        <v>19</v>
      </c>
      <c r="D51" s="272"/>
      <c r="E51" s="272"/>
      <c r="F51" s="273"/>
      <c r="G51" s="139" t="s">
        <v>207</v>
      </c>
      <c r="H51" s="130">
        <v>1</v>
      </c>
      <c r="I51" s="140">
        <v>6957</v>
      </c>
      <c r="J51" s="141">
        <f t="shared" si="4"/>
        <v>6957</v>
      </c>
      <c r="K51" s="71">
        <f t="shared" si="1"/>
        <v>1.1158824448187497</v>
      </c>
      <c r="L51" s="70">
        <f t="shared" si="2"/>
        <v>7763.1941686040409</v>
      </c>
      <c r="M51" s="70">
        <f t="shared" si="3"/>
        <v>9315.8330023248491</v>
      </c>
    </row>
    <row r="52" spans="1:13" ht="49.5" customHeight="1" x14ac:dyDescent="0.25">
      <c r="A52" s="56">
        <v>31</v>
      </c>
      <c r="B52" s="129" t="s">
        <v>292</v>
      </c>
      <c r="C52" s="271" t="s">
        <v>82</v>
      </c>
      <c r="D52" s="272"/>
      <c r="E52" s="272"/>
      <c r="F52" s="273"/>
      <c r="G52" s="139" t="s">
        <v>180</v>
      </c>
      <c r="H52" s="130">
        <v>1</v>
      </c>
      <c r="I52" s="140">
        <v>4055</v>
      </c>
      <c r="J52" s="141">
        <f t="shared" si="4"/>
        <v>4055</v>
      </c>
      <c r="K52" s="71">
        <f t="shared" si="1"/>
        <v>1.1158824448187497</v>
      </c>
      <c r="L52" s="70">
        <f t="shared" si="2"/>
        <v>4524.9033137400302</v>
      </c>
      <c r="M52" s="70">
        <f t="shared" si="3"/>
        <v>5429.8839764880358</v>
      </c>
    </row>
    <row r="53" spans="1:13" ht="28.5" customHeight="1" x14ac:dyDescent="0.25">
      <c r="A53" s="56">
        <v>32</v>
      </c>
      <c r="B53" s="129" t="s">
        <v>188</v>
      </c>
      <c r="C53" s="271" t="s">
        <v>83</v>
      </c>
      <c r="D53" s="272"/>
      <c r="E53" s="272"/>
      <c r="F53" s="273"/>
      <c r="G53" s="139" t="s">
        <v>180</v>
      </c>
      <c r="H53" s="130">
        <v>1</v>
      </c>
      <c r="I53" s="140">
        <v>1265</v>
      </c>
      <c r="J53" s="141">
        <f t="shared" si="4"/>
        <v>1265</v>
      </c>
      <c r="K53" s="71">
        <f t="shared" si="1"/>
        <v>1.1158824448187497</v>
      </c>
      <c r="L53" s="70">
        <f t="shared" si="2"/>
        <v>1411.5912926957183</v>
      </c>
      <c r="M53" s="70">
        <f t="shared" si="3"/>
        <v>1693.909551234862</v>
      </c>
    </row>
    <row r="54" spans="1:13" ht="47.25" customHeight="1" x14ac:dyDescent="0.25">
      <c r="A54" s="56">
        <v>33</v>
      </c>
      <c r="B54" s="129" t="s">
        <v>189</v>
      </c>
      <c r="C54" s="271" t="s">
        <v>84</v>
      </c>
      <c r="D54" s="272"/>
      <c r="E54" s="272"/>
      <c r="F54" s="273"/>
      <c r="G54" s="101" t="s">
        <v>180</v>
      </c>
      <c r="H54" s="130">
        <v>1</v>
      </c>
      <c r="I54" s="131">
        <v>3711</v>
      </c>
      <c r="J54" s="142">
        <f>I54*H54</f>
        <v>3711</v>
      </c>
      <c r="K54" s="71">
        <f t="shared" si="1"/>
        <v>1.1158824448187497</v>
      </c>
      <c r="L54" s="70">
        <f t="shared" si="2"/>
        <v>4141.0397527223804</v>
      </c>
      <c r="M54" s="70">
        <f t="shared" si="3"/>
        <v>4969.2477032668567</v>
      </c>
    </row>
    <row r="55" spans="1:13" ht="46.5" customHeight="1" x14ac:dyDescent="0.25">
      <c r="A55" s="56">
        <v>34</v>
      </c>
      <c r="B55" s="129" t="s">
        <v>190</v>
      </c>
      <c r="C55" s="271" t="s">
        <v>85</v>
      </c>
      <c r="D55" s="272"/>
      <c r="E55" s="272"/>
      <c r="F55" s="273"/>
      <c r="G55" s="101" t="s">
        <v>180</v>
      </c>
      <c r="H55" s="130">
        <v>1</v>
      </c>
      <c r="I55" s="131">
        <v>5411</v>
      </c>
      <c r="J55" s="142">
        <f>I55*H55</f>
        <v>5411</v>
      </c>
      <c r="K55" s="71">
        <f t="shared" si="1"/>
        <v>1.1158824448187497</v>
      </c>
      <c r="L55" s="70">
        <f t="shared" si="2"/>
        <v>6038.0399089142547</v>
      </c>
      <c r="M55" s="70">
        <f t="shared" si="3"/>
        <v>7245.6478906971051</v>
      </c>
    </row>
    <row r="56" spans="1:13" ht="57" customHeight="1" x14ac:dyDescent="0.25">
      <c r="A56" s="56">
        <v>35</v>
      </c>
      <c r="B56" s="129" t="s">
        <v>236</v>
      </c>
      <c r="C56" s="271" t="s">
        <v>94</v>
      </c>
      <c r="D56" s="272"/>
      <c r="E56" s="272"/>
      <c r="F56" s="273"/>
      <c r="G56" s="101" t="s">
        <v>211</v>
      </c>
      <c r="H56" s="130">
        <v>1</v>
      </c>
      <c r="I56" s="131">
        <v>41035</v>
      </c>
      <c r="J56" s="142">
        <f>I56*H56</f>
        <v>41035</v>
      </c>
      <c r="K56" s="71">
        <f t="shared" si="1"/>
        <v>1.1158824448187497</v>
      </c>
      <c r="L56" s="70">
        <f t="shared" si="2"/>
        <v>45790.236123137394</v>
      </c>
      <c r="M56" s="70">
        <f t="shared" si="3"/>
        <v>54948.283347764875</v>
      </c>
    </row>
    <row r="57" spans="1:13" ht="59.25" customHeight="1" x14ac:dyDescent="0.25">
      <c r="A57" s="56">
        <v>36</v>
      </c>
      <c r="B57" s="129" t="s">
        <v>244</v>
      </c>
      <c r="C57" s="271" t="s">
        <v>263</v>
      </c>
      <c r="D57" s="272"/>
      <c r="E57" s="272"/>
      <c r="F57" s="273"/>
      <c r="G57" s="101" t="s">
        <v>180</v>
      </c>
      <c r="H57" s="130">
        <v>1</v>
      </c>
      <c r="I57" s="90">
        <v>11783</v>
      </c>
      <c r="J57" s="70">
        <f>I57*H57</f>
        <v>11783</v>
      </c>
      <c r="K57" s="71">
        <f t="shared" si="1"/>
        <v>1.1158824448187497</v>
      </c>
      <c r="L57" s="70">
        <f t="shared" si="2"/>
        <v>13148.442847299328</v>
      </c>
      <c r="M57" s="70">
        <f t="shared" si="3"/>
        <v>15778.131416759192</v>
      </c>
    </row>
    <row r="58" spans="1:13" ht="15.75" customHeight="1" x14ac:dyDescent="0.25">
      <c r="A58" s="56">
        <v>37</v>
      </c>
      <c r="B58" s="129"/>
      <c r="C58" s="271" t="s">
        <v>95</v>
      </c>
      <c r="D58" s="272"/>
      <c r="E58" s="272"/>
      <c r="F58" s="273"/>
      <c r="G58" s="101" t="s">
        <v>180</v>
      </c>
      <c r="H58" s="130">
        <v>1</v>
      </c>
      <c r="I58" s="90">
        <v>814</v>
      </c>
      <c r="J58" s="142">
        <f t="shared" ref="J58:J66" si="5">I58*H58</f>
        <v>814</v>
      </c>
      <c r="K58" s="71">
        <f t="shared" si="1"/>
        <v>1.1158824448187497</v>
      </c>
      <c r="L58" s="70">
        <f t="shared" si="2"/>
        <v>908.32831008246217</v>
      </c>
      <c r="M58" s="70">
        <f t="shared" si="3"/>
        <v>1089.9939720989546</v>
      </c>
    </row>
    <row r="59" spans="1:13" ht="47.25" customHeight="1" x14ac:dyDescent="0.25">
      <c r="A59" s="56">
        <v>38</v>
      </c>
      <c r="B59" s="129" t="s">
        <v>245</v>
      </c>
      <c r="C59" s="271" t="s">
        <v>264</v>
      </c>
      <c r="D59" s="272"/>
      <c r="E59" s="272"/>
      <c r="F59" s="273"/>
      <c r="G59" s="101" t="s">
        <v>178</v>
      </c>
      <c r="H59" s="132">
        <v>0.01</v>
      </c>
      <c r="I59" s="90">
        <f>68/H59</f>
        <v>6800</v>
      </c>
      <c r="J59" s="142">
        <f t="shared" si="5"/>
        <v>68</v>
      </c>
      <c r="K59" s="71">
        <f t="shared" si="1"/>
        <v>1.1158824448187497</v>
      </c>
      <c r="L59" s="70">
        <f t="shared" si="2"/>
        <v>75.88000624767497</v>
      </c>
      <c r="M59" s="70">
        <f t="shared" si="3"/>
        <v>91.056007497209961</v>
      </c>
    </row>
    <row r="60" spans="1:13" ht="13.5" customHeight="1" x14ac:dyDescent="0.25">
      <c r="A60" s="56">
        <v>39</v>
      </c>
      <c r="B60" s="129"/>
      <c r="C60" s="271" t="s">
        <v>96</v>
      </c>
      <c r="D60" s="272"/>
      <c r="E60" s="272"/>
      <c r="F60" s="273"/>
      <c r="G60" s="101" t="s">
        <v>216</v>
      </c>
      <c r="H60" s="130">
        <v>1</v>
      </c>
      <c r="I60" s="90">
        <v>90</v>
      </c>
      <c r="J60" s="142">
        <f t="shared" si="5"/>
        <v>90</v>
      </c>
      <c r="K60" s="71">
        <f t="shared" si="1"/>
        <v>1.1158824448187497</v>
      </c>
      <c r="L60" s="70">
        <f t="shared" si="2"/>
        <v>100.42942003368746</v>
      </c>
      <c r="M60" s="70">
        <f t="shared" si="3"/>
        <v>120.51530404042495</v>
      </c>
    </row>
    <row r="61" spans="1:13" ht="26.25" customHeight="1" x14ac:dyDescent="0.25">
      <c r="A61" s="56">
        <v>40</v>
      </c>
      <c r="B61" s="129" t="s">
        <v>246</v>
      </c>
      <c r="C61" s="271" t="s">
        <v>97</v>
      </c>
      <c r="D61" s="272"/>
      <c r="E61" s="272"/>
      <c r="F61" s="273"/>
      <c r="G61" s="101" t="s">
        <v>178</v>
      </c>
      <c r="H61" s="132">
        <v>1.24</v>
      </c>
      <c r="I61" s="90">
        <f>1004/H61</f>
        <v>809.67741935483866</v>
      </c>
      <c r="J61" s="142">
        <f t="shared" si="5"/>
        <v>1003.9999999999999</v>
      </c>
      <c r="K61" s="71">
        <f t="shared" si="1"/>
        <v>1.1158824448187497</v>
      </c>
      <c r="L61" s="70">
        <f t="shared" si="2"/>
        <v>1120.3459745980244</v>
      </c>
      <c r="M61" s="70">
        <f t="shared" si="3"/>
        <v>1344.4151695176292</v>
      </c>
    </row>
    <row r="62" spans="1:13" ht="36" customHeight="1" x14ac:dyDescent="0.25">
      <c r="A62" s="56">
        <v>41</v>
      </c>
      <c r="B62" s="129" t="s">
        <v>247</v>
      </c>
      <c r="C62" s="271" t="s">
        <v>98</v>
      </c>
      <c r="D62" s="272"/>
      <c r="E62" s="272"/>
      <c r="F62" s="273"/>
      <c r="G62" s="101" t="s">
        <v>178</v>
      </c>
      <c r="H62" s="132">
        <v>0.02</v>
      </c>
      <c r="I62" s="90">
        <f>12/H62</f>
        <v>600</v>
      </c>
      <c r="J62" s="142">
        <f t="shared" si="5"/>
        <v>12</v>
      </c>
      <c r="K62" s="71">
        <f t="shared" si="1"/>
        <v>1.1158824448187497</v>
      </c>
      <c r="L62" s="70">
        <f t="shared" si="2"/>
        <v>13.390589337824995</v>
      </c>
      <c r="M62" s="70">
        <f t="shared" si="3"/>
        <v>16.068707205389995</v>
      </c>
    </row>
    <row r="63" spans="1:13" ht="79.5" customHeight="1" x14ac:dyDescent="0.25">
      <c r="A63" s="56">
        <v>42</v>
      </c>
      <c r="B63" s="129" t="s">
        <v>248</v>
      </c>
      <c r="C63" s="271" t="s">
        <v>99</v>
      </c>
      <c r="D63" s="272"/>
      <c r="E63" s="272"/>
      <c r="F63" s="273"/>
      <c r="G63" s="101" t="s">
        <v>180</v>
      </c>
      <c r="H63" s="132">
        <v>0.04</v>
      </c>
      <c r="I63" s="90">
        <f>125/H63</f>
        <v>3125</v>
      </c>
      <c r="J63" s="142">
        <f t="shared" si="5"/>
        <v>125</v>
      </c>
      <c r="K63" s="71">
        <f t="shared" si="1"/>
        <v>1.1158824448187497</v>
      </c>
      <c r="L63" s="70">
        <f t="shared" si="2"/>
        <v>139.48530560234371</v>
      </c>
      <c r="M63" s="70">
        <f t="shared" si="3"/>
        <v>167.38236672281246</v>
      </c>
    </row>
    <row r="64" spans="1:13" ht="15.75" customHeight="1" x14ac:dyDescent="0.25">
      <c r="A64" s="56">
        <v>43</v>
      </c>
      <c r="B64" s="129"/>
      <c r="C64" s="271" t="s">
        <v>100</v>
      </c>
      <c r="D64" s="272"/>
      <c r="E64" s="272"/>
      <c r="F64" s="273"/>
      <c r="G64" s="101" t="s">
        <v>216</v>
      </c>
      <c r="H64" s="143">
        <v>1</v>
      </c>
      <c r="I64" s="90">
        <v>818</v>
      </c>
      <c r="J64" s="142">
        <f t="shared" si="5"/>
        <v>818</v>
      </c>
      <c r="K64" s="71">
        <f t="shared" si="1"/>
        <v>1.1158824448187497</v>
      </c>
      <c r="L64" s="70">
        <f t="shared" si="2"/>
        <v>912.79183986173723</v>
      </c>
      <c r="M64" s="70">
        <f t="shared" si="3"/>
        <v>1095.3502078340846</v>
      </c>
    </row>
    <row r="65" spans="1:13" ht="44.25" customHeight="1" x14ac:dyDescent="0.25">
      <c r="A65" s="56">
        <v>44</v>
      </c>
      <c r="B65" s="129" t="s">
        <v>249</v>
      </c>
      <c r="C65" s="271" t="s">
        <v>265</v>
      </c>
      <c r="D65" s="272"/>
      <c r="E65" s="272"/>
      <c r="F65" s="273"/>
      <c r="G65" s="101" t="s">
        <v>178</v>
      </c>
      <c r="H65" s="132">
        <v>0.01</v>
      </c>
      <c r="I65" s="90">
        <f>210/H65</f>
        <v>21000</v>
      </c>
      <c r="J65" s="142">
        <f t="shared" si="5"/>
        <v>210</v>
      </c>
      <c r="K65" s="71">
        <f t="shared" si="1"/>
        <v>1.1158824448187497</v>
      </c>
      <c r="L65" s="70">
        <f t="shared" si="2"/>
        <v>234.33531341193742</v>
      </c>
      <c r="M65" s="70">
        <f t="shared" si="3"/>
        <v>281.2023760943249</v>
      </c>
    </row>
    <row r="66" spans="1:13" ht="46.5" customHeight="1" x14ac:dyDescent="0.25">
      <c r="A66" s="56">
        <v>45</v>
      </c>
      <c r="B66" s="129" t="s">
        <v>245</v>
      </c>
      <c r="C66" s="271" t="s">
        <v>264</v>
      </c>
      <c r="D66" s="272"/>
      <c r="E66" s="272"/>
      <c r="F66" s="273"/>
      <c r="G66" s="101" t="s">
        <v>178</v>
      </c>
      <c r="H66" s="132">
        <v>0.01</v>
      </c>
      <c r="I66" s="90">
        <f>68/H66</f>
        <v>6800</v>
      </c>
      <c r="J66" s="142">
        <f t="shared" si="5"/>
        <v>68</v>
      </c>
      <c r="K66" s="71">
        <f t="shared" si="1"/>
        <v>1.1158824448187497</v>
      </c>
      <c r="L66" s="70">
        <f t="shared" si="2"/>
        <v>75.88000624767497</v>
      </c>
      <c r="M66" s="70">
        <f t="shared" si="3"/>
        <v>91.056007497209961</v>
      </c>
    </row>
    <row r="67" spans="1:13" ht="51" customHeight="1" x14ac:dyDescent="0.25">
      <c r="A67" s="56">
        <v>46</v>
      </c>
      <c r="B67" s="129" t="s">
        <v>250</v>
      </c>
      <c r="C67" s="271" t="s">
        <v>266</v>
      </c>
      <c r="D67" s="272"/>
      <c r="E67" s="272"/>
      <c r="F67" s="273"/>
      <c r="G67" s="101" t="s">
        <v>211</v>
      </c>
      <c r="H67" s="132">
        <v>1.0449999999999999</v>
      </c>
      <c r="I67" s="90">
        <f>211044/H67</f>
        <v>201955.98086124402</v>
      </c>
      <c r="J67" s="142">
        <f>H67*I67</f>
        <v>211044</v>
      </c>
      <c r="K67" s="71">
        <f t="shared" si="1"/>
        <v>1.1158824448187497</v>
      </c>
      <c r="L67" s="70">
        <f t="shared" si="2"/>
        <v>235500.2946843282</v>
      </c>
      <c r="M67" s="70">
        <f t="shared" si="3"/>
        <v>282600.35362119385</v>
      </c>
    </row>
    <row r="68" spans="1:13" ht="79.5" customHeight="1" x14ac:dyDescent="0.25">
      <c r="A68" s="56">
        <v>47</v>
      </c>
      <c r="B68" s="129" t="s">
        <v>251</v>
      </c>
      <c r="C68" s="271" t="s">
        <v>267</v>
      </c>
      <c r="D68" s="272"/>
      <c r="E68" s="272"/>
      <c r="F68" s="273"/>
      <c r="G68" s="101" t="s">
        <v>211</v>
      </c>
      <c r="H68" s="132">
        <v>1.0449999999999999</v>
      </c>
      <c r="I68" s="90">
        <f>195548/H68</f>
        <v>187127.27272727274</v>
      </c>
      <c r="J68" s="142">
        <f>H68*I68</f>
        <v>195548</v>
      </c>
      <c r="K68" s="71">
        <f t="shared" si="1"/>
        <v>1.1158824448187497</v>
      </c>
      <c r="L68" s="70">
        <f t="shared" si="2"/>
        <v>218208.58031941685</v>
      </c>
      <c r="M68" s="70">
        <f t="shared" si="3"/>
        <v>261850.29638330021</v>
      </c>
    </row>
    <row r="69" spans="1:13" ht="33.75" customHeight="1" x14ac:dyDescent="0.25">
      <c r="A69" s="56">
        <v>48</v>
      </c>
      <c r="B69" s="129" t="s">
        <v>196</v>
      </c>
      <c r="C69" s="271" t="s">
        <v>101</v>
      </c>
      <c r="D69" s="272"/>
      <c r="E69" s="272"/>
      <c r="F69" s="273"/>
      <c r="G69" s="101" t="s">
        <v>214</v>
      </c>
      <c r="H69" s="130">
        <v>1</v>
      </c>
      <c r="I69" s="90">
        <v>600</v>
      </c>
      <c r="J69" s="142">
        <f>H69*I69</f>
        <v>600</v>
      </c>
      <c r="K69" s="71">
        <f t="shared" si="1"/>
        <v>1.1158824448187497</v>
      </c>
      <c r="L69" s="70">
        <f t="shared" si="2"/>
        <v>669.52946689124974</v>
      </c>
      <c r="M69" s="70">
        <f t="shared" si="3"/>
        <v>803.43536026949971</v>
      </c>
    </row>
    <row r="70" spans="1:13" ht="35.25" customHeight="1" x14ac:dyDescent="0.25">
      <c r="A70" s="100">
        <v>49</v>
      </c>
      <c r="B70" s="129" t="s">
        <v>252</v>
      </c>
      <c r="C70" s="271" t="s">
        <v>102</v>
      </c>
      <c r="D70" s="272"/>
      <c r="E70" s="272"/>
      <c r="F70" s="273"/>
      <c r="G70" s="101" t="s">
        <v>180</v>
      </c>
      <c r="H70" s="130">
        <v>1</v>
      </c>
      <c r="I70" s="90">
        <v>3643</v>
      </c>
      <c r="J70" s="142">
        <f>H70*I70</f>
        <v>3643</v>
      </c>
      <c r="K70" s="71">
        <f t="shared" si="1"/>
        <v>1.1158824448187497</v>
      </c>
      <c r="L70" s="70">
        <f t="shared" si="2"/>
        <v>4065.1597464747051</v>
      </c>
      <c r="M70" s="70">
        <f t="shared" si="3"/>
        <v>4878.1916957696458</v>
      </c>
    </row>
    <row r="71" spans="1:13" x14ac:dyDescent="0.25">
      <c r="A71" s="278" t="s">
        <v>87</v>
      </c>
      <c r="B71" s="278"/>
      <c r="C71" s="278"/>
      <c r="D71" s="278"/>
      <c r="E71" s="278"/>
      <c r="F71" s="278"/>
      <c r="G71" s="278"/>
      <c r="H71" s="278"/>
      <c r="I71" s="278"/>
      <c r="J71" s="278"/>
      <c r="K71" s="278"/>
      <c r="L71" s="278"/>
      <c r="M71" s="94">
        <f>SUM(M22:M70)</f>
        <v>890000.4026607261</v>
      </c>
    </row>
    <row r="72" spans="1:13" x14ac:dyDescent="0.25">
      <c r="A72" s="81"/>
      <c r="B72" s="248" t="s">
        <v>88</v>
      </c>
      <c r="C72" s="248"/>
      <c r="D72" s="248"/>
      <c r="E72" s="248"/>
      <c r="F72" s="248"/>
      <c r="G72" s="81"/>
      <c r="H72" s="81"/>
      <c r="I72" s="144"/>
      <c r="J72" s="81"/>
      <c r="K72" s="81"/>
      <c r="L72" s="81"/>
      <c r="M72" s="32"/>
    </row>
    <row r="73" spans="1:13" x14ac:dyDescent="0.25">
      <c r="A73" s="56">
        <v>1</v>
      </c>
      <c r="B73" s="249" t="s">
        <v>24</v>
      </c>
      <c r="C73" s="250"/>
      <c r="D73" s="250"/>
      <c r="E73" s="250"/>
      <c r="F73" s="251"/>
      <c r="G73" s="56" t="s">
        <v>86</v>
      </c>
      <c r="H73" s="56">
        <v>1</v>
      </c>
      <c r="I73" s="145"/>
      <c r="J73" s="65"/>
      <c r="K73" s="65"/>
      <c r="L73" s="65"/>
      <c r="M73" s="95">
        <f>M25+M22+M57+M69*3</f>
        <v>25033.706767063828</v>
      </c>
    </row>
    <row r="74" spans="1:13" x14ac:dyDescent="0.25">
      <c r="A74" s="56">
        <v>2</v>
      </c>
      <c r="B74" s="253" t="s">
        <v>25</v>
      </c>
      <c r="C74" s="254"/>
      <c r="D74" s="254"/>
      <c r="E74" s="254"/>
      <c r="F74" s="255"/>
      <c r="G74" s="56" t="s">
        <v>86</v>
      </c>
      <c r="H74" s="56">
        <v>1</v>
      </c>
      <c r="I74" s="145"/>
      <c r="J74" s="65"/>
      <c r="K74" s="65"/>
      <c r="L74" s="65"/>
      <c r="M74" s="94">
        <f>M26+M22*2+M57*2+M58+M69*3*2</f>
        <v>51679.640490401791</v>
      </c>
    </row>
    <row r="75" spans="1:13" x14ac:dyDescent="0.25">
      <c r="A75" s="56">
        <v>3</v>
      </c>
      <c r="B75" s="242" t="s">
        <v>26</v>
      </c>
      <c r="C75" s="243"/>
      <c r="D75" s="243"/>
      <c r="E75" s="243"/>
      <c r="F75" s="244"/>
      <c r="G75" s="56" t="s">
        <v>86</v>
      </c>
      <c r="H75" s="56">
        <v>1</v>
      </c>
      <c r="I75" s="145"/>
      <c r="J75" s="65"/>
      <c r="K75" s="65"/>
      <c r="L75" s="65"/>
      <c r="M75" s="94">
        <f>M27+M22*3+M57*3+M58*2+M69*3*3</f>
        <v>78573.30011648951</v>
      </c>
    </row>
    <row r="76" spans="1:13" x14ac:dyDescent="0.25">
      <c r="A76" s="56">
        <v>4</v>
      </c>
      <c r="B76" s="242" t="s">
        <v>27</v>
      </c>
      <c r="C76" s="243"/>
      <c r="D76" s="243"/>
      <c r="E76" s="243"/>
      <c r="F76" s="244"/>
      <c r="G76" s="56" t="s">
        <v>86</v>
      </c>
      <c r="H76" s="56">
        <v>1</v>
      </c>
      <c r="I76" s="145"/>
      <c r="J76" s="65"/>
      <c r="K76" s="65"/>
      <c r="L76" s="65"/>
      <c r="M76" s="94">
        <f>M23*18+M24*8+M29+M59*4+M61+M62*31+M63*26+M67</f>
        <v>421209.02197488793</v>
      </c>
    </row>
    <row r="77" spans="1:13" x14ac:dyDescent="0.25">
      <c r="A77" s="56">
        <v>5</v>
      </c>
      <c r="B77" s="242" t="s">
        <v>28</v>
      </c>
      <c r="C77" s="243"/>
      <c r="D77" s="243"/>
      <c r="E77" s="243"/>
      <c r="F77" s="244"/>
      <c r="G77" s="56" t="s">
        <v>86</v>
      </c>
      <c r="H77" s="56">
        <v>1</v>
      </c>
      <c r="I77" s="145"/>
      <c r="J77" s="65"/>
      <c r="K77" s="65"/>
      <c r="L77" s="65"/>
      <c r="M77" s="94">
        <f>M23*18+M24*8+M29+M59*4+M61+M62*31+M63*26+M68</f>
        <v>400458.9647369943</v>
      </c>
    </row>
    <row r="78" spans="1:13" x14ac:dyDescent="0.25">
      <c r="A78" s="56">
        <v>6</v>
      </c>
      <c r="B78" s="245" t="s">
        <v>12</v>
      </c>
      <c r="C78" s="246"/>
      <c r="D78" s="246"/>
      <c r="E78" s="246"/>
      <c r="F78" s="247"/>
      <c r="G78" s="56" t="s">
        <v>86</v>
      </c>
      <c r="H78" s="56">
        <v>1</v>
      </c>
      <c r="I78" s="145"/>
      <c r="J78" s="65"/>
      <c r="K78" s="65"/>
      <c r="L78" s="65"/>
      <c r="M78" s="94">
        <f>M52</f>
        <v>5429.8839764880358</v>
      </c>
    </row>
    <row r="79" spans="1:13" x14ac:dyDescent="0.25">
      <c r="A79" s="56">
        <v>7</v>
      </c>
      <c r="B79" s="245" t="s">
        <v>13</v>
      </c>
      <c r="C79" s="246"/>
      <c r="D79" s="246"/>
      <c r="E79" s="246"/>
      <c r="F79" s="247"/>
      <c r="G79" s="56" t="s">
        <v>86</v>
      </c>
      <c r="H79" s="56">
        <v>1</v>
      </c>
      <c r="I79" s="145"/>
      <c r="J79" s="65"/>
      <c r="K79" s="65"/>
      <c r="L79" s="65"/>
      <c r="M79" s="94">
        <f>M53</f>
        <v>1693.909551234862</v>
      </c>
    </row>
    <row r="80" spans="1:13" x14ac:dyDescent="0.25">
      <c r="A80" s="56">
        <v>8</v>
      </c>
      <c r="B80" s="245" t="s">
        <v>14</v>
      </c>
      <c r="C80" s="246"/>
      <c r="D80" s="246"/>
      <c r="E80" s="246"/>
      <c r="F80" s="247"/>
      <c r="G80" s="56" t="s">
        <v>86</v>
      </c>
      <c r="H80" s="56">
        <v>1</v>
      </c>
      <c r="I80" s="145"/>
      <c r="J80" s="65"/>
      <c r="K80" s="65"/>
      <c r="L80" s="65"/>
      <c r="M80" s="94">
        <f t="shared" ref="M80:M81" si="6">M54</f>
        <v>4969.2477032668567</v>
      </c>
    </row>
    <row r="81" spans="1:14" x14ac:dyDescent="0.25">
      <c r="A81" s="56">
        <v>9</v>
      </c>
      <c r="B81" s="245" t="s">
        <v>15</v>
      </c>
      <c r="C81" s="246"/>
      <c r="D81" s="246"/>
      <c r="E81" s="246"/>
      <c r="F81" s="247"/>
      <c r="G81" s="56" t="s">
        <v>86</v>
      </c>
      <c r="H81" s="56">
        <v>1</v>
      </c>
      <c r="I81" s="145"/>
      <c r="J81" s="65"/>
      <c r="K81" s="65"/>
      <c r="L81" s="65"/>
      <c r="M81" s="94">
        <f t="shared" si="6"/>
        <v>7245.6478906971051</v>
      </c>
    </row>
    <row r="82" spans="1:14" x14ac:dyDescent="0.25">
      <c r="A82" s="56">
        <v>10</v>
      </c>
      <c r="B82" s="245" t="s">
        <v>29</v>
      </c>
      <c r="C82" s="246"/>
      <c r="D82" s="246"/>
      <c r="E82" s="246"/>
      <c r="F82" s="247"/>
      <c r="G82" s="56" t="s">
        <v>86</v>
      </c>
      <c r="H82" s="56">
        <v>1</v>
      </c>
      <c r="I82" s="145"/>
      <c r="J82" s="65"/>
      <c r="K82" s="65"/>
      <c r="L82" s="65"/>
      <c r="M82" s="94">
        <f>M56</f>
        <v>54948.283347764875</v>
      </c>
    </row>
    <row r="83" spans="1:14" x14ac:dyDescent="0.25">
      <c r="A83" s="56">
        <v>11</v>
      </c>
      <c r="B83" s="281" t="s">
        <v>119</v>
      </c>
      <c r="C83" s="282"/>
      <c r="D83" s="282"/>
      <c r="E83" s="282"/>
      <c r="F83" s="283"/>
      <c r="G83" s="56" t="s">
        <v>86</v>
      </c>
      <c r="H83" s="56">
        <v>1</v>
      </c>
      <c r="I83" s="145"/>
      <c r="J83" s="65"/>
      <c r="K83" s="65"/>
      <c r="L83" s="65"/>
      <c r="M83" s="94">
        <f>M31+M32+M33+M34</f>
        <v>2887.0110612350691</v>
      </c>
    </row>
    <row r="84" spans="1:14" x14ac:dyDescent="0.25">
      <c r="A84" s="56">
        <v>12</v>
      </c>
      <c r="B84" s="284" t="s">
        <v>19</v>
      </c>
      <c r="C84" s="285"/>
      <c r="D84" s="285"/>
      <c r="E84" s="285"/>
      <c r="F84" s="286"/>
      <c r="G84" s="56" t="s">
        <v>86</v>
      </c>
      <c r="H84" s="56">
        <v>1</v>
      </c>
      <c r="I84" s="145"/>
      <c r="J84" s="65"/>
      <c r="K84" s="65"/>
      <c r="L84" s="65"/>
      <c r="M84" s="94">
        <f>M51</f>
        <v>9315.8330023248491</v>
      </c>
    </row>
    <row r="85" spans="1:14" x14ac:dyDescent="0.25">
      <c r="A85" s="56">
        <v>13</v>
      </c>
      <c r="B85" s="257" t="s">
        <v>20</v>
      </c>
      <c r="C85" s="258"/>
      <c r="D85" s="258"/>
      <c r="E85" s="258"/>
      <c r="F85" s="259"/>
      <c r="G85" s="56" t="s">
        <v>86</v>
      </c>
      <c r="H85" s="56">
        <v>1</v>
      </c>
      <c r="I85" s="145"/>
      <c r="J85" s="65"/>
      <c r="K85" s="65"/>
      <c r="L85" s="65"/>
      <c r="M85" s="94">
        <f>M45+M46+M47+M48</f>
        <v>2366.1305265830147</v>
      </c>
    </row>
    <row r="86" spans="1:14" x14ac:dyDescent="0.25">
      <c r="A86" s="189"/>
      <c r="B86" s="190"/>
      <c r="C86" s="190"/>
      <c r="D86" s="190"/>
      <c r="E86" s="190"/>
      <c r="F86" s="190"/>
      <c r="G86" s="189"/>
      <c r="H86" s="189"/>
      <c r="I86" s="144"/>
      <c r="J86" s="81"/>
      <c r="K86" s="81"/>
      <c r="L86" s="81"/>
      <c r="M86" s="32"/>
    </row>
    <row r="87" spans="1:14" x14ac:dyDescent="0.25">
      <c r="A87" s="99"/>
      <c r="C87" s="266"/>
      <c r="D87" s="266"/>
      <c r="E87" s="266"/>
      <c r="F87" s="266"/>
      <c r="G87" s="146"/>
      <c r="H87" s="146"/>
      <c r="I87" s="147"/>
      <c r="J87" s="36"/>
      <c r="K87" s="36"/>
      <c r="L87" s="36"/>
      <c r="M87" s="33"/>
    </row>
    <row r="88" spans="1:14" s="148" customFormat="1" ht="18" customHeight="1" x14ac:dyDescent="0.25">
      <c r="A88" s="279" t="s">
        <v>31</v>
      </c>
      <c r="B88" s="279"/>
      <c r="C88" s="279"/>
      <c r="D88" s="279"/>
      <c r="E88" s="279"/>
      <c r="F88" s="279"/>
      <c r="G88" s="279"/>
      <c r="H88" s="279"/>
      <c r="I88" s="279"/>
      <c r="J88" s="279"/>
      <c r="K88" s="279"/>
      <c r="L88" s="279"/>
      <c r="M88" s="279"/>
      <c r="N88" s="279"/>
    </row>
    <row r="89" spans="1:14" s="148" customFormat="1" ht="15.75" customHeight="1" x14ac:dyDescent="0.25">
      <c r="A89" s="280" t="s">
        <v>32</v>
      </c>
      <c r="B89" s="280"/>
      <c r="C89" s="280"/>
      <c r="D89" s="280"/>
      <c r="E89" s="280"/>
      <c r="F89" s="280"/>
      <c r="G89" s="280"/>
      <c r="H89" s="280"/>
      <c r="I89" s="280"/>
      <c r="J89" s="280"/>
      <c r="K89" s="280"/>
      <c r="L89" s="280"/>
      <c r="M89" s="280"/>
      <c r="N89" s="280"/>
    </row>
    <row r="90" spans="1:14" s="148" customFormat="1" ht="12.75" customHeight="1" x14ac:dyDescent="0.25">
      <c r="A90" s="149"/>
      <c r="B90" s="149"/>
      <c r="C90" s="149"/>
      <c r="D90" s="149"/>
      <c r="E90" s="149"/>
      <c r="F90" s="149"/>
      <c r="G90" s="149"/>
      <c r="H90" s="149"/>
      <c r="I90" s="149"/>
      <c r="J90" s="149"/>
      <c r="K90" s="149"/>
      <c r="L90" s="149"/>
      <c r="M90" s="149"/>
      <c r="N90" s="149"/>
    </row>
    <row r="91" spans="1:14" s="148" customFormat="1" ht="18.75" customHeight="1" x14ac:dyDescent="0.25">
      <c r="A91" s="279" t="s">
        <v>132</v>
      </c>
      <c r="B91" s="279"/>
      <c r="C91" s="279"/>
      <c r="D91" s="279"/>
      <c r="E91" s="279"/>
      <c r="F91" s="279"/>
      <c r="G91" s="279"/>
      <c r="H91" s="279"/>
      <c r="I91" s="279"/>
      <c r="J91" s="279"/>
      <c r="K91" s="279"/>
      <c r="L91" s="279"/>
      <c r="M91" s="279"/>
      <c r="N91" s="279"/>
    </row>
    <row r="92" spans="1:14" s="148" customFormat="1" ht="18" customHeight="1" x14ac:dyDescent="0.25">
      <c r="A92" s="280" t="s">
        <v>32</v>
      </c>
      <c r="B92" s="280"/>
      <c r="C92" s="280"/>
      <c r="D92" s="280"/>
      <c r="E92" s="280"/>
      <c r="F92" s="280"/>
      <c r="G92" s="280"/>
      <c r="H92" s="280"/>
      <c r="I92" s="280"/>
      <c r="J92" s="280"/>
      <c r="K92" s="280"/>
      <c r="L92" s="280"/>
      <c r="M92" s="280"/>
      <c r="N92" s="280"/>
    </row>
    <row r="93" spans="1:14" x14ac:dyDescent="0.25">
      <c r="A93" s="99"/>
      <c r="C93" s="266"/>
      <c r="D93" s="266"/>
      <c r="E93" s="266"/>
      <c r="F93" s="266"/>
      <c r="G93" s="146"/>
      <c r="H93" s="146"/>
      <c r="I93" s="147"/>
      <c r="J93" s="36"/>
      <c r="K93" s="36"/>
      <c r="L93" s="36"/>
      <c r="M93" s="36"/>
    </row>
    <row r="94" spans="1:14" x14ac:dyDescent="0.25">
      <c r="A94" s="99"/>
      <c r="C94" s="266"/>
      <c r="D94" s="266"/>
      <c r="E94" s="266"/>
      <c r="F94" s="266"/>
      <c r="G94" s="146"/>
      <c r="H94" s="146"/>
      <c r="I94" s="147"/>
      <c r="J94" s="36"/>
      <c r="K94" s="36"/>
      <c r="L94" s="36"/>
      <c r="M94" s="36"/>
    </row>
    <row r="95" spans="1:14" x14ac:dyDescent="0.25">
      <c r="A95" s="99"/>
      <c r="C95" s="266"/>
      <c r="D95" s="266"/>
      <c r="E95" s="266"/>
      <c r="F95" s="266"/>
      <c r="G95" s="146"/>
      <c r="H95" s="146"/>
      <c r="I95" s="147"/>
      <c r="J95" s="36"/>
      <c r="K95" s="36"/>
      <c r="L95" s="36"/>
      <c r="M95" s="36"/>
    </row>
    <row r="96" spans="1:14" x14ac:dyDescent="0.25">
      <c r="A96" s="99"/>
      <c r="C96" s="266"/>
      <c r="D96" s="266"/>
      <c r="E96" s="266"/>
      <c r="F96" s="266"/>
      <c r="G96" s="146"/>
      <c r="H96" s="146"/>
      <c r="I96" s="147"/>
      <c r="J96" s="36"/>
      <c r="K96" s="36"/>
      <c r="L96" s="36"/>
      <c r="M96" s="36"/>
    </row>
    <row r="97" spans="1:13" x14ac:dyDescent="0.25">
      <c r="A97" s="99"/>
      <c r="C97" s="266"/>
      <c r="D97" s="266"/>
      <c r="E97" s="266"/>
      <c r="F97" s="266"/>
      <c r="G97" s="146"/>
      <c r="H97" s="146"/>
      <c r="I97" s="147"/>
      <c r="J97" s="36"/>
      <c r="K97" s="36"/>
      <c r="L97" s="36"/>
      <c r="M97" s="36"/>
    </row>
    <row r="98" spans="1:13" x14ac:dyDescent="0.25">
      <c r="A98" s="99"/>
      <c r="C98" s="266"/>
      <c r="D98" s="266"/>
      <c r="E98" s="266"/>
      <c r="F98" s="266"/>
      <c r="G98" s="146"/>
      <c r="H98" s="146"/>
      <c r="I98" s="147"/>
      <c r="J98" s="36"/>
      <c r="K98" s="36"/>
      <c r="L98" s="36"/>
      <c r="M98" s="36"/>
    </row>
    <row r="99" spans="1:13" x14ac:dyDescent="0.25">
      <c r="A99" s="99"/>
      <c r="C99" s="266"/>
      <c r="D99" s="266"/>
      <c r="E99" s="266"/>
      <c r="F99" s="266"/>
      <c r="G99" s="146"/>
      <c r="H99" s="146"/>
      <c r="I99" s="147"/>
      <c r="J99" s="36"/>
      <c r="K99" s="36"/>
      <c r="L99" s="36"/>
      <c r="M99" s="36"/>
    </row>
    <row r="100" spans="1:13" x14ac:dyDescent="0.25">
      <c r="A100" s="99"/>
      <c r="C100" s="266"/>
      <c r="D100" s="266"/>
      <c r="E100" s="266"/>
      <c r="F100" s="266"/>
      <c r="G100" s="146"/>
      <c r="H100" s="146"/>
      <c r="I100" s="147"/>
      <c r="J100" s="36"/>
      <c r="K100" s="36"/>
      <c r="L100" s="36"/>
      <c r="M100" s="36"/>
    </row>
    <row r="101" spans="1:13" x14ac:dyDescent="0.25">
      <c r="A101" s="99"/>
      <c r="C101" s="266"/>
      <c r="D101" s="266"/>
      <c r="E101" s="266"/>
      <c r="F101" s="266"/>
      <c r="G101" s="146"/>
      <c r="H101" s="146"/>
      <c r="I101" s="147"/>
      <c r="J101" s="36"/>
      <c r="K101" s="36"/>
      <c r="L101" s="36"/>
      <c r="M101" s="36"/>
    </row>
    <row r="102" spans="1:13" x14ac:dyDescent="0.25">
      <c r="A102" s="99"/>
      <c r="C102" s="266"/>
      <c r="D102" s="266"/>
      <c r="E102" s="266"/>
      <c r="F102" s="266"/>
      <c r="G102" s="146"/>
      <c r="H102" s="146"/>
      <c r="I102" s="147"/>
      <c r="J102" s="36"/>
      <c r="K102" s="36"/>
      <c r="L102" s="36"/>
      <c r="M102" s="36"/>
    </row>
    <row r="103" spans="1:13" x14ac:dyDescent="0.25">
      <c r="A103" s="99"/>
      <c r="C103" s="266"/>
      <c r="D103" s="266"/>
      <c r="E103" s="266"/>
      <c r="F103" s="266"/>
      <c r="G103" s="146"/>
      <c r="H103" s="146"/>
      <c r="I103" s="147"/>
      <c r="J103" s="36"/>
      <c r="K103" s="36"/>
      <c r="L103" s="36"/>
      <c r="M103" s="36"/>
    </row>
    <row r="104" spans="1:13" x14ac:dyDescent="0.25">
      <c r="A104" s="99"/>
      <c r="C104" s="266"/>
      <c r="D104" s="266"/>
      <c r="E104" s="266"/>
      <c r="F104" s="266"/>
      <c r="G104" s="146"/>
      <c r="H104" s="146"/>
      <c r="I104" s="147"/>
      <c r="J104" s="36"/>
      <c r="K104" s="36"/>
      <c r="L104" s="36"/>
      <c r="M104" s="36"/>
    </row>
    <row r="105" spans="1:13" x14ac:dyDescent="0.25">
      <c r="A105" s="99"/>
      <c r="C105" s="266"/>
      <c r="D105" s="266"/>
      <c r="E105" s="266"/>
      <c r="F105" s="266"/>
      <c r="G105" s="146"/>
      <c r="H105" s="146"/>
      <c r="I105" s="147"/>
      <c r="J105" s="36"/>
      <c r="K105" s="36"/>
      <c r="L105" s="36"/>
      <c r="M105" s="36"/>
    </row>
    <row r="106" spans="1:13" x14ac:dyDescent="0.25">
      <c r="A106" s="99"/>
      <c r="C106" s="266"/>
      <c r="D106" s="266"/>
      <c r="E106" s="266"/>
      <c r="F106" s="266"/>
      <c r="G106" s="146"/>
      <c r="H106" s="146"/>
      <c r="I106" s="147"/>
      <c r="J106" s="36"/>
      <c r="K106" s="36"/>
      <c r="L106" s="36"/>
      <c r="M106" s="36"/>
    </row>
    <row r="107" spans="1:13" x14ac:dyDescent="0.25">
      <c r="A107" s="99"/>
      <c r="C107" s="266"/>
      <c r="D107" s="266"/>
      <c r="E107" s="266"/>
      <c r="F107" s="266"/>
      <c r="G107" s="146"/>
      <c r="H107" s="146"/>
      <c r="I107" s="147"/>
      <c r="J107" s="36"/>
      <c r="K107" s="36"/>
      <c r="L107" s="36"/>
      <c r="M107" s="36"/>
    </row>
    <row r="108" spans="1:13" x14ac:dyDescent="0.25">
      <c r="A108" s="99"/>
      <c r="C108" s="266"/>
      <c r="D108" s="266"/>
      <c r="E108" s="266"/>
      <c r="F108" s="266"/>
      <c r="G108" s="146"/>
      <c r="H108" s="146"/>
      <c r="I108" s="147"/>
      <c r="J108" s="36"/>
      <c r="K108" s="36"/>
      <c r="L108" s="36"/>
      <c r="M108" s="36"/>
    </row>
    <row r="109" spans="1:13" x14ac:dyDescent="0.25">
      <c r="A109" s="99"/>
      <c r="C109" s="266"/>
      <c r="D109" s="266"/>
      <c r="E109" s="266"/>
      <c r="F109" s="266"/>
      <c r="G109" s="146"/>
      <c r="H109" s="146"/>
      <c r="I109" s="147"/>
      <c r="J109" s="36"/>
      <c r="K109" s="36"/>
      <c r="L109" s="36"/>
      <c r="M109" s="36"/>
    </row>
    <row r="110" spans="1:13" x14ac:dyDescent="0.25">
      <c r="A110" s="99"/>
      <c r="C110" s="266"/>
      <c r="D110" s="266"/>
      <c r="E110" s="266"/>
      <c r="F110" s="266"/>
      <c r="G110" s="146"/>
      <c r="H110" s="146"/>
      <c r="I110" s="147"/>
      <c r="J110" s="36"/>
      <c r="K110" s="36"/>
      <c r="L110" s="36"/>
      <c r="M110" s="36"/>
    </row>
    <row r="111" spans="1:13" x14ac:dyDescent="0.25">
      <c r="A111" s="99"/>
      <c r="C111" s="266"/>
      <c r="D111" s="266"/>
      <c r="E111" s="266"/>
      <c r="F111" s="266"/>
      <c r="G111" s="146"/>
      <c r="H111" s="146"/>
      <c r="I111" s="147"/>
      <c r="J111" s="36"/>
      <c r="K111" s="36"/>
      <c r="L111" s="36"/>
      <c r="M111" s="36"/>
    </row>
    <row r="112" spans="1:13" x14ac:dyDescent="0.25">
      <c r="A112" s="99"/>
      <c r="C112" s="266"/>
      <c r="D112" s="266"/>
      <c r="E112" s="266"/>
      <c r="F112" s="266"/>
      <c r="G112" s="146"/>
      <c r="H112" s="146"/>
      <c r="I112" s="147"/>
      <c r="J112" s="36"/>
      <c r="K112" s="36"/>
      <c r="L112" s="36"/>
      <c r="M112" s="36"/>
    </row>
    <row r="113" spans="1:13" x14ac:dyDescent="0.25">
      <c r="A113" s="99"/>
      <c r="C113" s="266"/>
      <c r="D113" s="266"/>
      <c r="E113" s="266"/>
      <c r="F113" s="266"/>
      <c r="G113" s="146"/>
      <c r="H113" s="146"/>
      <c r="I113" s="147"/>
      <c r="J113" s="36"/>
      <c r="K113" s="36"/>
      <c r="L113" s="36"/>
      <c r="M113" s="36"/>
    </row>
    <row r="114" spans="1:13" x14ac:dyDescent="0.25">
      <c r="A114" s="99"/>
      <c r="C114" s="266"/>
      <c r="D114" s="266"/>
      <c r="E114" s="266"/>
      <c r="F114" s="266"/>
      <c r="G114" s="146"/>
      <c r="H114" s="146"/>
      <c r="I114" s="147"/>
      <c r="J114" s="36"/>
      <c r="K114" s="36"/>
      <c r="L114" s="36"/>
      <c r="M114" s="36"/>
    </row>
    <row r="115" spans="1:13" x14ac:dyDescent="0.25">
      <c r="A115" s="99"/>
      <c r="C115" s="266"/>
      <c r="D115" s="266"/>
      <c r="E115" s="266"/>
      <c r="F115" s="266"/>
      <c r="G115" s="146"/>
      <c r="H115" s="146"/>
      <c r="I115" s="147"/>
      <c r="J115" s="36"/>
      <c r="K115" s="36"/>
      <c r="L115" s="36"/>
      <c r="M115" s="36"/>
    </row>
    <row r="116" spans="1:13" x14ac:dyDescent="0.25">
      <c r="A116" s="99"/>
      <c r="C116" s="266"/>
      <c r="D116" s="266"/>
      <c r="E116" s="266"/>
      <c r="F116" s="266"/>
      <c r="G116" s="146"/>
      <c r="H116" s="146"/>
      <c r="I116" s="147"/>
      <c r="J116" s="36"/>
      <c r="K116" s="36"/>
      <c r="L116" s="36"/>
      <c r="M116" s="36"/>
    </row>
    <row r="117" spans="1:13" x14ac:dyDescent="0.25">
      <c r="A117" s="99"/>
      <c r="C117" s="266"/>
      <c r="D117" s="266"/>
      <c r="E117" s="266"/>
      <c r="F117" s="266"/>
      <c r="G117" s="146"/>
      <c r="H117" s="146"/>
      <c r="I117" s="147"/>
      <c r="J117" s="36"/>
      <c r="K117" s="36"/>
      <c r="L117" s="36"/>
      <c r="M117" s="36"/>
    </row>
    <row r="118" spans="1:13" x14ac:dyDescent="0.25">
      <c r="A118" s="99"/>
      <c r="C118" s="266"/>
      <c r="D118" s="266"/>
      <c r="E118" s="266"/>
      <c r="F118" s="266"/>
      <c r="G118" s="146"/>
      <c r="H118" s="146"/>
      <c r="I118" s="147"/>
      <c r="J118" s="36"/>
      <c r="K118" s="36"/>
      <c r="L118" s="36"/>
      <c r="M118" s="36"/>
    </row>
    <row r="119" spans="1:13" x14ac:dyDescent="0.25">
      <c r="A119" s="99"/>
      <c r="C119" s="266"/>
      <c r="D119" s="266"/>
      <c r="E119" s="266"/>
      <c r="F119" s="266"/>
      <c r="G119" s="146"/>
      <c r="H119" s="146"/>
      <c r="I119" s="147"/>
      <c r="J119" s="36"/>
      <c r="K119" s="36"/>
      <c r="L119" s="36"/>
      <c r="M119" s="36"/>
    </row>
    <row r="120" spans="1:13" x14ac:dyDescent="0.25">
      <c r="A120" s="99"/>
      <c r="C120" s="266"/>
      <c r="D120" s="266"/>
      <c r="E120" s="266"/>
      <c r="F120" s="266"/>
      <c r="G120" s="146"/>
      <c r="H120" s="146"/>
      <c r="I120" s="147"/>
      <c r="J120" s="36"/>
      <c r="K120" s="36"/>
      <c r="L120" s="36"/>
      <c r="M120" s="36"/>
    </row>
    <row r="121" spans="1:13" x14ac:dyDescent="0.25">
      <c r="A121" s="99"/>
      <c r="C121" s="266"/>
      <c r="D121" s="266"/>
      <c r="E121" s="266"/>
      <c r="F121" s="266"/>
      <c r="G121" s="146"/>
      <c r="H121" s="146"/>
      <c r="I121" s="147"/>
      <c r="J121" s="36"/>
      <c r="K121" s="36"/>
      <c r="L121" s="36"/>
      <c r="M121" s="36"/>
    </row>
    <row r="122" spans="1:13" x14ac:dyDescent="0.25">
      <c r="A122" s="99"/>
      <c r="C122" s="266"/>
      <c r="D122" s="266"/>
      <c r="E122" s="266"/>
      <c r="F122" s="266"/>
      <c r="G122" s="146"/>
      <c r="H122" s="146"/>
      <c r="I122" s="147"/>
      <c r="J122" s="36"/>
      <c r="K122" s="36"/>
      <c r="L122" s="36"/>
      <c r="M122" s="36"/>
    </row>
    <row r="123" spans="1:13" x14ac:dyDescent="0.25">
      <c r="A123" s="99"/>
      <c r="C123" s="266"/>
      <c r="D123" s="266"/>
      <c r="E123" s="266"/>
      <c r="F123" s="266"/>
      <c r="G123" s="146"/>
      <c r="H123" s="146"/>
      <c r="I123" s="147"/>
      <c r="J123" s="36"/>
      <c r="K123" s="36"/>
      <c r="L123" s="36"/>
      <c r="M123" s="36"/>
    </row>
    <row r="124" spans="1:13" x14ac:dyDescent="0.25">
      <c r="A124" s="99"/>
      <c r="C124" s="266"/>
      <c r="D124" s="266"/>
      <c r="E124" s="266"/>
      <c r="F124" s="266"/>
      <c r="G124" s="146"/>
      <c r="H124" s="146"/>
      <c r="I124" s="147"/>
      <c r="J124" s="36"/>
      <c r="K124" s="36"/>
      <c r="L124" s="36"/>
      <c r="M124" s="36"/>
    </row>
    <row r="125" spans="1:13" x14ac:dyDescent="0.25">
      <c r="A125" s="99"/>
      <c r="C125" s="266"/>
      <c r="D125" s="266"/>
      <c r="E125" s="266"/>
      <c r="F125" s="266"/>
      <c r="G125" s="146"/>
      <c r="H125" s="146"/>
      <c r="I125" s="147"/>
      <c r="J125" s="36"/>
      <c r="K125" s="36"/>
      <c r="L125" s="36"/>
      <c r="M125" s="36"/>
    </row>
    <row r="126" spans="1:13" x14ac:dyDescent="0.25">
      <c r="A126" s="99"/>
      <c r="C126" s="266"/>
      <c r="D126" s="266"/>
      <c r="E126" s="266"/>
      <c r="F126" s="266"/>
      <c r="G126" s="146"/>
      <c r="H126" s="146"/>
      <c r="I126" s="147"/>
      <c r="J126" s="36"/>
      <c r="K126" s="36"/>
      <c r="L126" s="36"/>
      <c r="M126" s="36"/>
    </row>
    <row r="127" spans="1:13" x14ac:dyDescent="0.25">
      <c r="A127" s="99"/>
      <c r="C127" s="266"/>
      <c r="D127" s="266"/>
      <c r="E127" s="266"/>
      <c r="F127" s="266"/>
      <c r="G127" s="146"/>
      <c r="H127" s="146"/>
      <c r="I127" s="147"/>
      <c r="J127" s="36"/>
      <c r="K127" s="36"/>
      <c r="L127" s="36"/>
      <c r="M127" s="36"/>
    </row>
    <row r="128" spans="1:13" x14ac:dyDescent="0.25">
      <c r="A128" s="99"/>
      <c r="C128" s="266"/>
      <c r="D128" s="266"/>
      <c r="E128" s="266"/>
      <c r="F128" s="266"/>
      <c r="G128" s="146"/>
      <c r="H128" s="146"/>
      <c r="I128" s="147"/>
      <c r="J128" s="36"/>
      <c r="K128" s="36"/>
      <c r="L128" s="36"/>
      <c r="M128" s="36"/>
    </row>
    <row r="129" spans="1:13" x14ac:dyDescent="0.25">
      <c r="A129" s="99"/>
      <c r="C129" s="266"/>
      <c r="D129" s="266"/>
      <c r="E129" s="266"/>
      <c r="F129" s="266"/>
      <c r="G129" s="146"/>
      <c r="H129" s="146"/>
      <c r="I129" s="147"/>
      <c r="J129" s="36"/>
      <c r="K129" s="36"/>
      <c r="L129" s="36"/>
      <c r="M129" s="36"/>
    </row>
    <row r="130" spans="1:13" x14ac:dyDescent="0.25">
      <c r="A130" s="99"/>
      <c r="C130" s="266"/>
      <c r="D130" s="266"/>
      <c r="E130" s="266"/>
      <c r="F130" s="266"/>
      <c r="G130" s="146"/>
      <c r="H130" s="146"/>
      <c r="I130" s="147"/>
      <c r="J130" s="36"/>
      <c r="K130" s="36"/>
      <c r="L130" s="36"/>
      <c r="M130" s="36"/>
    </row>
    <row r="131" spans="1:13" x14ac:dyDescent="0.25">
      <c r="A131" s="99"/>
      <c r="C131" s="266"/>
      <c r="D131" s="266"/>
      <c r="E131" s="266"/>
      <c r="F131" s="266"/>
      <c r="G131" s="146"/>
      <c r="H131" s="146"/>
      <c r="I131" s="147"/>
      <c r="J131" s="36"/>
      <c r="K131" s="36"/>
      <c r="L131" s="36"/>
      <c r="M131" s="36"/>
    </row>
    <row r="132" spans="1:13" x14ac:dyDescent="0.25">
      <c r="A132" s="99"/>
      <c r="C132" s="266"/>
      <c r="D132" s="266"/>
      <c r="E132" s="266"/>
      <c r="F132" s="266"/>
      <c r="G132" s="146"/>
      <c r="H132" s="146"/>
      <c r="I132" s="147"/>
      <c r="J132" s="36"/>
      <c r="K132" s="36"/>
      <c r="L132" s="36"/>
      <c r="M132" s="36"/>
    </row>
    <row r="133" spans="1:13" x14ac:dyDescent="0.25">
      <c r="A133" s="99"/>
      <c r="C133" s="266"/>
      <c r="D133" s="266"/>
      <c r="E133" s="266"/>
      <c r="F133" s="266"/>
      <c r="G133" s="146"/>
      <c r="H133" s="146"/>
      <c r="I133" s="147"/>
      <c r="J133" s="36"/>
      <c r="K133" s="36"/>
      <c r="L133" s="36"/>
      <c r="M133" s="36"/>
    </row>
    <row r="134" spans="1:13" x14ac:dyDescent="0.25">
      <c r="A134" s="99"/>
      <c r="C134" s="266"/>
      <c r="D134" s="266"/>
      <c r="E134" s="266"/>
      <c r="F134" s="266"/>
      <c r="G134" s="146"/>
      <c r="H134" s="146"/>
      <c r="I134" s="147"/>
      <c r="J134" s="36"/>
      <c r="K134" s="36"/>
      <c r="L134" s="36"/>
      <c r="M134" s="36"/>
    </row>
    <row r="135" spans="1:13" x14ac:dyDescent="0.25">
      <c r="A135" s="99"/>
      <c r="C135" s="266"/>
      <c r="D135" s="266"/>
      <c r="E135" s="266"/>
      <c r="F135" s="266"/>
      <c r="G135" s="146"/>
      <c r="H135" s="146"/>
      <c r="I135" s="147"/>
      <c r="J135" s="36"/>
      <c r="K135" s="36"/>
      <c r="L135" s="36"/>
      <c r="M135" s="36"/>
    </row>
    <row r="136" spans="1:13" x14ac:dyDescent="0.25">
      <c r="A136" s="99"/>
      <c r="C136" s="266"/>
      <c r="D136" s="266"/>
      <c r="E136" s="266"/>
      <c r="F136" s="266"/>
      <c r="G136" s="146"/>
      <c r="H136" s="146"/>
      <c r="I136" s="147"/>
      <c r="J136" s="36"/>
      <c r="K136" s="36"/>
      <c r="L136" s="36"/>
      <c r="M136" s="36"/>
    </row>
    <row r="137" spans="1:13" x14ac:dyDescent="0.25">
      <c r="A137" s="99"/>
      <c r="C137" s="266"/>
      <c r="D137" s="266"/>
      <c r="E137" s="266"/>
      <c r="F137" s="266"/>
      <c r="G137" s="146"/>
      <c r="H137" s="146"/>
      <c r="I137" s="147"/>
      <c r="J137" s="36"/>
      <c r="K137" s="36"/>
      <c r="L137" s="36"/>
      <c r="M137" s="36"/>
    </row>
    <row r="138" spans="1:13" x14ac:dyDescent="0.25">
      <c r="A138" s="99"/>
      <c r="C138" s="266"/>
      <c r="D138" s="266"/>
      <c r="E138" s="266"/>
      <c r="F138" s="266"/>
      <c r="G138" s="146"/>
      <c r="H138" s="146"/>
      <c r="I138" s="147"/>
      <c r="J138" s="36"/>
      <c r="K138" s="36"/>
      <c r="L138" s="36"/>
      <c r="M138" s="36"/>
    </row>
    <row r="139" spans="1:13" x14ac:dyDescent="0.25">
      <c r="A139" s="99"/>
      <c r="C139" s="266"/>
      <c r="D139" s="266"/>
      <c r="E139" s="266"/>
      <c r="F139" s="266"/>
      <c r="G139" s="146"/>
      <c r="H139" s="146"/>
      <c r="I139" s="147"/>
      <c r="J139" s="36"/>
      <c r="K139" s="36"/>
      <c r="L139" s="36"/>
      <c r="M139" s="36"/>
    </row>
    <row r="140" spans="1:13" x14ac:dyDescent="0.25">
      <c r="A140" s="99"/>
      <c r="C140" s="266"/>
      <c r="D140" s="266"/>
      <c r="E140" s="266"/>
      <c r="F140" s="266"/>
      <c r="G140" s="146"/>
      <c r="H140" s="146"/>
      <c r="I140" s="147"/>
      <c r="J140" s="36"/>
      <c r="K140" s="36"/>
      <c r="L140" s="36"/>
      <c r="M140" s="36"/>
    </row>
    <row r="141" spans="1:13" x14ac:dyDescent="0.25">
      <c r="A141" s="99"/>
      <c r="C141" s="266"/>
      <c r="D141" s="266"/>
      <c r="E141" s="266"/>
      <c r="F141" s="266"/>
      <c r="G141" s="146"/>
      <c r="H141" s="146"/>
      <c r="I141" s="147"/>
      <c r="J141" s="36"/>
      <c r="K141" s="36"/>
      <c r="L141" s="36"/>
      <c r="M141" s="36"/>
    </row>
    <row r="142" spans="1:13" x14ac:dyDescent="0.25">
      <c r="A142" s="99"/>
      <c r="C142" s="266"/>
      <c r="D142" s="266"/>
      <c r="E142" s="266"/>
      <c r="F142" s="266"/>
      <c r="G142" s="146"/>
      <c r="H142" s="146"/>
      <c r="I142" s="147"/>
      <c r="J142" s="36"/>
      <c r="K142" s="36"/>
      <c r="L142" s="36"/>
      <c r="M142" s="36"/>
    </row>
    <row r="143" spans="1:13" x14ac:dyDescent="0.25">
      <c r="A143" s="99"/>
      <c r="C143" s="266"/>
      <c r="D143" s="266"/>
      <c r="E143" s="266"/>
      <c r="F143" s="266"/>
      <c r="G143" s="99"/>
      <c r="H143" s="99"/>
      <c r="I143" s="64"/>
      <c r="J143" s="99"/>
      <c r="K143" s="99"/>
      <c r="L143" s="99"/>
      <c r="M143" s="99"/>
    </row>
    <row r="144" spans="1:13" x14ac:dyDescent="0.25">
      <c r="A144" s="99"/>
      <c r="C144" s="266"/>
      <c r="D144" s="266"/>
      <c r="E144" s="266"/>
      <c r="F144" s="266"/>
      <c r="G144" s="99"/>
      <c r="H144" s="99"/>
      <c r="I144" s="64"/>
      <c r="J144" s="99"/>
      <c r="K144" s="99"/>
      <c r="L144" s="99"/>
      <c r="M144" s="99"/>
    </row>
    <row r="145" spans="3:13" x14ac:dyDescent="0.25">
      <c r="C145" s="228"/>
      <c r="D145" s="228"/>
      <c r="E145" s="228"/>
      <c r="F145" s="228"/>
      <c r="G145" s="39"/>
      <c r="H145" s="39"/>
      <c r="I145" s="64"/>
      <c r="J145" s="39"/>
      <c r="K145" s="39"/>
      <c r="L145" s="39"/>
      <c r="M145" s="39"/>
    </row>
    <row r="146" spans="3:13" x14ac:dyDescent="0.25">
      <c r="C146" s="228"/>
      <c r="D146" s="228"/>
      <c r="E146" s="228"/>
      <c r="F146" s="228"/>
      <c r="G146" s="39"/>
      <c r="H146" s="39"/>
      <c r="I146" s="64"/>
      <c r="J146" s="39"/>
      <c r="K146" s="39"/>
      <c r="L146" s="39"/>
      <c r="M146" s="39"/>
    </row>
    <row r="147" spans="3:13" x14ac:dyDescent="0.25">
      <c r="C147" s="228"/>
      <c r="D147" s="228"/>
      <c r="E147" s="228"/>
      <c r="F147" s="228"/>
      <c r="G147" s="39"/>
      <c r="H147" s="39"/>
      <c r="I147" s="64"/>
      <c r="J147" s="39"/>
      <c r="K147" s="39"/>
      <c r="L147" s="39"/>
      <c r="M147" s="39"/>
    </row>
    <row r="148" spans="3:13" x14ac:dyDescent="0.25">
      <c r="C148" s="228"/>
      <c r="D148" s="228"/>
      <c r="E148" s="228"/>
      <c r="F148" s="228"/>
      <c r="G148" s="39"/>
      <c r="H148" s="39"/>
      <c r="I148" s="64"/>
      <c r="J148" s="39"/>
      <c r="K148" s="39"/>
      <c r="L148" s="39"/>
      <c r="M148" s="39"/>
    </row>
    <row r="149" spans="3:13" x14ac:dyDescent="0.25">
      <c r="C149" s="228"/>
      <c r="D149" s="228"/>
      <c r="E149" s="228"/>
      <c r="F149" s="228"/>
      <c r="G149" s="39"/>
      <c r="H149" s="39"/>
      <c r="I149" s="64"/>
      <c r="J149" s="39"/>
      <c r="K149" s="39"/>
      <c r="L149" s="39"/>
      <c r="M149" s="39"/>
    </row>
    <row r="150" spans="3:13" x14ac:dyDescent="0.25">
      <c r="C150" s="228"/>
      <c r="D150" s="228"/>
      <c r="E150" s="228"/>
      <c r="F150" s="228"/>
      <c r="G150" s="39"/>
      <c r="H150" s="39"/>
      <c r="I150" s="64"/>
      <c r="J150" s="39"/>
      <c r="K150" s="39"/>
      <c r="L150" s="39"/>
      <c r="M150" s="39"/>
    </row>
  </sheetData>
  <mergeCells count="143">
    <mergeCell ref="C147:F147"/>
    <mergeCell ref="C148:F148"/>
    <mergeCell ref="C149:F149"/>
    <mergeCell ref="C150:F150"/>
    <mergeCell ref="C141:F141"/>
    <mergeCell ref="C142:F142"/>
    <mergeCell ref="C143:F143"/>
    <mergeCell ref="C144:F144"/>
    <mergeCell ref="C145:F145"/>
    <mergeCell ref="C146:F146"/>
    <mergeCell ref="C135:F135"/>
    <mergeCell ref="C136:F136"/>
    <mergeCell ref="C137:F137"/>
    <mergeCell ref="C138:F138"/>
    <mergeCell ref="C139:F139"/>
    <mergeCell ref="C140:F140"/>
    <mergeCell ref="C129:F129"/>
    <mergeCell ref="C130:F130"/>
    <mergeCell ref="C131:F131"/>
    <mergeCell ref="C132:F132"/>
    <mergeCell ref="C133:F133"/>
    <mergeCell ref="C134:F134"/>
    <mergeCell ref="C123:F123"/>
    <mergeCell ref="C124:F124"/>
    <mergeCell ref="C125:F125"/>
    <mergeCell ref="C126:F126"/>
    <mergeCell ref="C127:F127"/>
    <mergeCell ref="C128:F128"/>
    <mergeCell ref="C117:F117"/>
    <mergeCell ref="C118:F118"/>
    <mergeCell ref="C119:F119"/>
    <mergeCell ref="C120:F120"/>
    <mergeCell ref="C121:F121"/>
    <mergeCell ref="C122:F122"/>
    <mergeCell ref="C111:F111"/>
    <mergeCell ref="C112:F112"/>
    <mergeCell ref="C113:F113"/>
    <mergeCell ref="C114:F114"/>
    <mergeCell ref="C115:F115"/>
    <mergeCell ref="C116:F116"/>
    <mergeCell ref="C105:F105"/>
    <mergeCell ref="C106:F106"/>
    <mergeCell ref="C107:F107"/>
    <mergeCell ref="C108:F108"/>
    <mergeCell ref="C109:F109"/>
    <mergeCell ref="C110:F110"/>
    <mergeCell ref="C99:F99"/>
    <mergeCell ref="C100:F100"/>
    <mergeCell ref="C101:F101"/>
    <mergeCell ref="C102:F102"/>
    <mergeCell ref="C103:F103"/>
    <mergeCell ref="C104:F104"/>
    <mergeCell ref="C93:F93"/>
    <mergeCell ref="C94:F94"/>
    <mergeCell ref="C95:F95"/>
    <mergeCell ref="C96:F96"/>
    <mergeCell ref="C97:F97"/>
    <mergeCell ref="C98:F98"/>
    <mergeCell ref="B85:F85"/>
    <mergeCell ref="C87:F87"/>
    <mergeCell ref="A88:N88"/>
    <mergeCell ref="A89:N89"/>
    <mergeCell ref="A91:N91"/>
    <mergeCell ref="A92:N92"/>
    <mergeCell ref="B79:F79"/>
    <mergeCell ref="B80:F80"/>
    <mergeCell ref="B81:F81"/>
    <mergeCell ref="B82:F82"/>
    <mergeCell ref="B83:F83"/>
    <mergeCell ref="B84:F84"/>
    <mergeCell ref="B73:F73"/>
    <mergeCell ref="B74:F74"/>
    <mergeCell ref="B75:F75"/>
    <mergeCell ref="B76:F76"/>
    <mergeCell ref="B77:F77"/>
    <mergeCell ref="B78:F78"/>
    <mergeCell ref="C67:F67"/>
    <mergeCell ref="C68:F68"/>
    <mergeCell ref="C69:F69"/>
    <mergeCell ref="C70:F70"/>
    <mergeCell ref="A71:L71"/>
    <mergeCell ref="B72:F72"/>
    <mergeCell ref="C61:F61"/>
    <mergeCell ref="C62:F62"/>
    <mergeCell ref="C63:F63"/>
    <mergeCell ref="C64:F64"/>
    <mergeCell ref="C65:F65"/>
    <mergeCell ref="C66:F66"/>
    <mergeCell ref="C55:F55"/>
    <mergeCell ref="C56:F56"/>
    <mergeCell ref="C57:F57"/>
    <mergeCell ref="C58:F58"/>
    <mergeCell ref="C59:F59"/>
    <mergeCell ref="C60:F60"/>
    <mergeCell ref="C49:F49"/>
    <mergeCell ref="C50:F50"/>
    <mergeCell ref="C51:F51"/>
    <mergeCell ref="C52:F52"/>
    <mergeCell ref="C53:F53"/>
    <mergeCell ref="C54:F54"/>
    <mergeCell ref="C43:F43"/>
    <mergeCell ref="C44:F44"/>
    <mergeCell ref="C45:F45"/>
    <mergeCell ref="C46:F46"/>
    <mergeCell ref="C47:F47"/>
    <mergeCell ref="C48:F48"/>
    <mergeCell ref="C37:F37"/>
    <mergeCell ref="C38:F38"/>
    <mergeCell ref="C39:F39"/>
    <mergeCell ref="C40:F40"/>
    <mergeCell ref="C41:F41"/>
    <mergeCell ref="C42:F42"/>
    <mergeCell ref="C31:F31"/>
    <mergeCell ref="C32:F32"/>
    <mergeCell ref="C33:F33"/>
    <mergeCell ref="C34:F34"/>
    <mergeCell ref="C35:F35"/>
    <mergeCell ref="C36:F36"/>
    <mergeCell ref="C25:F25"/>
    <mergeCell ref="C26:F26"/>
    <mergeCell ref="C27:F27"/>
    <mergeCell ref="C28:F28"/>
    <mergeCell ref="C29:F29"/>
    <mergeCell ref="C30:F30"/>
    <mergeCell ref="H19:N19"/>
    <mergeCell ref="C20:F20"/>
    <mergeCell ref="C21:F21"/>
    <mergeCell ref="C22:F22"/>
    <mergeCell ref="C23:F23"/>
    <mergeCell ref="C24:F24"/>
    <mergeCell ref="A15:G15"/>
    <mergeCell ref="H15:N15"/>
    <mergeCell ref="A16:G16"/>
    <mergeCell ref="H16:N16"/>
    <mergeCell ref="H17:N17"/>
    <mergeCell ref="A18:G18"/>
    <mergeCell ref="K5:M5"/>
    <mergeCell ref="A7:N7"/>
    <mergeCell ref="A8:N8"/>
    <mergeCell ref="A13:N13"/>
    <mergeCell ref="A14:G14"/>
    <mergeCell ref="H14:N14"/>
    <mergeCell ref="A6:M6"/>
  </mergeCells>
  <pageMargins left="0.7" right="0.7" top="0.75" bottom="0.75" header="0.3" footer="0.3"/>
  <pageSetup paperSize="9" scale="77" orientation="landscape" r:id="rId1"/>
  <colBreaks count="1" manualBreakCount="1">
    <brk id="13" max="8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Q87"/>
  <sheetViews>
    <sheetView view="pageLayout" zoomScaleNormal="100" zoomScaleSheetLayoutView="115" workbookViewId="0">
      <selection activeCell="A5" sqref="A5:N8"/>
    </sheetView>
  </sheetViews>
  <sheetFormatPr defaultRowHeight="15" x14ac:dyDescent="0.25"/>
  <cols>
    <col min="1" max="1" width="6.7109375" style="41" customWidth="1"/>
    <col min="2" max="2" width="14.42578125" style="41" customWidth="1"/>
    <col min="3" max="5" width="9.140625" style="41"/>
    <col min="6" max="6" width="1.140625" style="41" customWidth="1"/>
    <col min="7" max="7" width="10.42578125" style="41" customWidth="1"/>
    <col min="8" max="8" width="11.7109375" style="41" customWidth="1"/>
    <col min="9" max="9" width="11.140625" style="41" customWidth="1"/>
    <col min="10" max="10" width="9.7109375" style="41" customWidth="1"/>
    <col min="11" max="11" width="9.140625" style="41"/>
    <col min="12" max="12" width="13" style="41" customWidth="1"/>
    <col min="13" max="13" width="14.140625" style="41" customWidth="1"/>
    <col min="14" max="14" width="9.140625" style="41" hidden="1" customWidth="1"/>
    <col min="15" max="16384" width="9.140625" style="41"/>
  </cols>
  <sheetData>
    <row r="1" spans="1:14" x14ac:dyDescent="0.25">
      <c r="A1" s="12"/>
      <c r="M1" s="42" t="s">
        <v>129</v>
      </c>
    </row>
    <row r="2" spans="1:14" x14ac:dyDescent="0.25">
      <c r="A2" s="12"/>
      <c r="M2" s="42" t="s">
        <v>46</v>
      </c>
      <c r="N2" s="42" t="s">
        <v>45</v>
      </c>
    </row>
    <row r="3" spans="1:14" x14ac:dyDescent="0.25">
      <c r="A3" s="12"/>
      <c r="M3" s="42"/>
      <c r="N3" s="42" t="s">
        <v>35</v>
      </c>
    </row>
    <row r="4" spans="1:14" x14ac:dyDescent="0.25">
      <c r="N4" s="42" t="s">
        <v>47</v>
      </c>
    </row>
    <row r="5" spans="1:14" x14ac:dyDescent="0.25">
      <c r="A5" s="288" t="s">
        <v>36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288"/>
    </row>
    <row r="6" spans="1:14" x14ac:dyDescent="0.25">
      <c r="A6" s="288" t="s">
        <v>37</v>
      </c>
      <c r="B6" s="288"/>
      <c r="C6" s="288"/>
      <c r="D6" s="288"/>
      <c r="E6" s="288"/>
      <c r="F6" s="288"/>
      <c r="G6" s="288"/>
      <c r="H6" s="288"/>
      <c r="I6" s="288"/>
      <c r="J6" s="288"/>
      <c r="K6" s="288"/>
      <c r="L6" s="288"/>
      <c r="M6" s="288"/>
      <c r="N6" s="288"/>
    </row>
    <row r="7" spans="1:14" x14ac:dyDescent="0.25">
      <c r="A7" s="289" t="s">
        <v>284</v>
      </c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</row>
    <row r="9" spans="1:14" x14ac:dyDescent="0.25">
      <c r="A9" s="41" t="s">
        <v>283</v>
      </c>
    </row>
    <row r="10" spans="1:14" x14ac:dyDescent="0.25">
      <c r="A10" s="41" t="s">
        <v>108</v>
      </c>
    </row>
    <row r="12" spans="1:14" x14ac:dyDescent="0.25">
      <c r="A12" s="290" t="s">
        <v>105</v>
      </c>
      <c r="B12" s="290"/>
      <c r="C12" s="290"/>
      <c r="D12" s="290"/>
      <c r="E12" s="290"/>
      <c r="F12" s="290"/>
      <c r="G12" s="290"/>
      <c r="H12" s="290"/>
      <c r="I12" s="290"/>
      <c r="J12" s="290"/>
      <c r="K12" s="290"/>
      <c r="L12" s="290"/>
      <c r="M12" s="290"/>
      <c r="N12" s="290"/>
    </row>
    <row r="13" spans="1:14" x14ac:dyDescent="0.25">
      <c r="A13" s="291"/>
      <c r="B13" s="291"/>
      <c r="C13" s="291"/>
      <c r="D13" s="291"/>
      <c r="E13" s="291"/>
      <c r="F13" s="291"/>
      <c r="G13" s="291"/>
      <c r="H13" s="291"/>
      <c r="I13" s="291"/>
      <c r="J13" s="291"/>
      <c r="K13" s="291"/>
      <c r="L13" s="291"/>
      <c r="M13" s="291"/>
      <c r="N13" s="291"/>
    </row>
    <row r="14" spans="1:14" x14ac:dyDescent="0.25">
      <c r="A14" s="104" t="s">
        <v>294</v>
      </c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</row>
    <row r="16" spans="1:14" s="43" customFormat="1" ht="45" x14ac:dyDescent="0.25">
      <c r="A16" s="102" t="s">
        <v>51</v>
      </c>
      <c r="B16" s="102" t="s">
        <v>52</v>
      </c>
      <c r="C16" s="287" t="s">
        <v>53</v>
      </c>
      <c r="D16" s="287"/>
      <c r="E16" s="287"/>
      <c r="F16" s="287"/>
      <c r="G16" s="102" t="s">
        <v>54</v>
      </c>
      <c r="H16" s="102" t="s">
        <v>55</v>
      </c>
      <c r="I16" s="102" t="s">
        <v>56</v>
      </c>
      <c r="J16" s="102" t="s">
        <v>57</v>
      </c>
      <c r="K16" s="102" t="s">
        <v>58</v>
      </c>
      <c r="L16" s="102" t="s">
        <v>59</v>
      </c>
      <c r="M16" s="102" t="s">
        <v>276</v>
      </c>
    </row>
    <row r="17" spans="1:17" x14ac:dyDescent="0.25">
      <c r="A17" s="105">
        <v>1</v>
      </c>
      <c r="B17" s="105">
        <v>2</v>
      </c>
      <c r="C17" s="293">
        <v>3</v>
      </c>
      <c r="D17" s="293"/>
      <c r="E17" s="293"/>
      <c r="F17" s="293"/>
      <c r="G17" s="105">
        <v>4</v>
      </c>
      <c r="H17" s="105">
        <v>5</v>
      </c>
      <c r="I17" s="105">
        <v>6</v>
      </c>
      <c r="J17" s="105">
        <v>7</v>
      </c>
      <c r="K17" s="105">
        <v>8</v>
      </c>
      <c r="L17" s="105">
        <v>9</v>
      </c>
      <c r="M17" s="105">
        <v>10</v>
      </c>
    </row>
    <row r="18" spans="1:17" x14ac:dyDescent="0.25">
      <c r="A18" s="294" t="s">
        <v>109</v>
      </c>
      <c r="B18" s="295"/>
      <c r="C18" s="295"/>
      <c r="D18" s="295"/>
      <c r="E18" s="295"/>
      <c r="F18" s="295"/>
      <c r="G18" s="295"/>
      <c r="H18" s="295"/>
      <c r="I18" s="295"/>
      <c r="J18" s="295"/>
      <c r="K18" s="295"/>
      <c r="L18" s="295"/>
      <c r="M18" s="296"/>
    </row>
    <row r="19" spans="1:17" ht="18" customHeight="1" x14ac:dyDescent="0.25">
      <c r="A19" s="105">
        <v>1</v>
      </c>
      <c r="B19" s="297" t="s">
        <v>110</v>
      </c>
      <c r="C19" s="237" t="s">
        <v>111</v>
      </c>
      <c r="D19" s="238"/>
      <c r="E19" s="238"/>
      <c r="F19" s="239"/>
      <c r="G19" s="150" t="s">
        <v>112</v>
      </c>
      <c r="H19" s="150">
        <v>1</v>
      </c>
      <c r="I19" s="151">
        <v>43720.3</v>
      </c>
      <c r="J19" s="151">
        <f>H19*I19</f>
        <v>43720.3</v>
      </c>
      <c r="K19" s="152">
        <v>1.0622499999999999</v>
      </c>
      <c r="L19" s="151">
        <f>J19*K19</f>
        <v>46441.888675000002</v>
      </c>
      <c r="M19" s="151">
        <f>L19*1.18</f>
        <v>54801.428636500001</v>
      </c>
    </row>
    <row r="20" spans="1:17" ht="19.5" customHeight="1" x14ac:dyDescent="0.25">
      <c r="A20" s="105">
        <v>2</v>
      </c>
      <c r="B20" s="298"/>
      <c r="C20" s="237" t="s">
        <v>113</v>
      </c>
      <c r="D20" s="238"/>
      <c r="E20" s="238"/>
      <c r="F20" s="239"/>
      <c r="G20" s="150" t="s">
        <v>112</v>
      </c>
      <c r="H20" s="150">
        <v>1</v>
      </c>
      <c r="I20" s="151">
        <v>29579.74</v>
      </c>
      <c r="J20" s="151">
        <f t="shared" ref="J20:J23" si="0">H20*I20</f>
        <v>29579.74</v>
      </c>
      <c r="K20" s="152">
        <v>1.0622499999999999</v>
      </c>
      <c r="L20" s="151">
        <f t="shared" ref="L20:L23" si="1">J20*K20</f>
        <v>31421.078815000001</v>
      </c>
      <c r="M20" s="151">
        <f t="shared" ref="M20:M23" si="2">L20*1.18</f>
        <v>37076.873001699998</v>
      </c>
    </row>
    <row r="21" spans="1:17" ht="18.75" customHeight="1" x14ac:dyDescent="0.25">
      <c r="A21" s="105">
        <v>3</v>
      </c>
      <c r="B21" s="298"/>
      <c r="C21" s="237" t="s">
        <v>130</v>
      </c>
      <c r="D21" s="238"/>
      <c r="E21" s="238"/>
      <c r="F21" s="239"/>
      <c r="G21" s="150" t="s">
        <v>112</v>
      </c>
      <c r="H21" s="150">
        <v>1</v>
      </c>
      <c r="I21" s="151">
        <v>2300.3000000000002</v>
      </c>
      <c r="J21" s="151">
        <f t="shared" si="0"/>
        <v>2300.3000000000002</v>
      </c>
      <c r="K21" s="152">
        <v>1.0622499999999999</v>
      </c>
      <c r="L21" s="151">
        <f t="shared" si="1"/>
        <v>2443.4936750000002</v>
      </c>
      <c r="M21" s="151">
        <f t="shared" si="2"/>
        <v>2883.3225364999998</v>
      </c>
    </row>
    <row r="22" spans="1:17" ht="21.75" customHeight="1" x14ac:dyDescent="0.25">
      <c r="A22" s="105">
        <v>4</v>
      </c>
      <c r="B22" s="298"/>
      <c r="C22" s="237" t="s">
        <v>131</v>
      </c>
      <c r="D22" s="238"/>
      <c r="E22" s="238"/>
      <c r="F22" s="239"/>
      <c r="G22" s="150" t="s">
        <v>112</v>
      </c>
      <c r="H22" s="150">
        <v>1</v>
      </c>
      <c r="I22" s="151">
        <f>I21</f>
        <v>2300.3000000000002</v>
      </c>
      <c r="J22" s="151">
        <f t="shared" si="0"/>
        <v>2300.3000000000002</v>
      </c>
      <c r="K22" s="152">
        <v>1.0622499999999999</v>
      </c>
      <c r="L22" s="151">
        <f t="shared" si="1"/>
        <v>2443.4936750000002</v>
      </c>
      <c r="M22" s="151">
        <f t="shared" si="2"/>
        <v>2883.3225364999998</v>
      </c>
    </row>
    <row r="23" spans="1:17" ht="21.75" customHeight="1" x14ac:dyDescent="0.25">
      <c r="A23" s="105">
        <v>5</v>
      </c>
      <c r="B23" s="299"/>
      <c r="C23" s="237" t="s">
        <v>114</v>
      </c>
      <c r="D23" s="238"/>
      <c r="E23" s="238"/>
      <c r="F23" s="239"/>
      <c r="G23" s="150" t="s">
        <v>112</v>
      </c>
      <c r="H23" s="150">
        <v>1</v>
      </c>
      <c r="I23" s="151">
        <v>7249.42</v>
      </c>
      <c r="J23" s="151">
        <f t="shared" si="0"/>
        <v>7249.42</v>
      </c>
      <c r="K23" s="152">
        <v>1.0622499999999999</v>
      </c>
      <c r="L23" s="151">
        <f t="shared" si="1"/>
        <v>7700.696394999999</v>
      </c>
      <c r="M23" s="151">
        <f t="shared" si="2"/>
        <v>9086.8217460999986</v>
      </c>
    </row>
    <row r="24" spans="1:17" x14ac:dyDescent="0.25">
      <c r="A24" s="300" t="s">
        <v>87</v>
      </c>
      <c r="B24" s="300"/>
      <c r="C24" s="300"/>
      <c r="D24" s="300"/>
      <c r="E24" s="300"/>
      <c r="F24" s="300"/>
      <c r="G24" s="300"/>
      <c r="H24" s="300"/>
      <c r="I24" s="300"/>
      <c r="J24" s="300"/>
      <c r="K24" s="300"/>
      <c r="L24" s="300"/>
      <c r="M24" s="44">
        <f>SUM(M19:M23)</f>
        <v>106731.7684573</v>
      </c>
    </row>
    <row r="25" spans="1:17" x14ac:dyDescent="0.25">
      <c r="A25" s="103"/>
      <c r="C25" s="301"/>
      <c r="D25" s="301"/>
      <c r="E25" s="301"/>
      <c r="F25" s="301"/>
      <c r="G25" s="153"/>
      <c r="H25" s="153"/>
      <c r="I25" s="49"/>
      <c r="J25" s="49"/>
      <c r="K25" s="49"/>
      <c r="L25" s="49"/>
      <c r="O25" s="50"/>
    </row>
    <row r="26" spans="1:17" s="155" customFormat="1" x14ac:dyDescent="0.25">
      <c r="A26" s="302" t="s">
        <v>31</v>
      </c>
      <c r="B26" s="302"/>
      <c r="C26" s="302"/>
      <c r="D26" s="302"/>
      <c r="E26" s="302"/>
      <c r="F26" s="302"/>
      <c r="G26" s="302"/>
      <c r="H26" s="302"/>
      <c r="I26" s="302"/>
      <c r="J26" s="302"/>
      <c r="K26" s="302"/>
      <c r="L26" s="302"/>
      <c r="M26" s="302"/>
      <c r="N26" s="302"/>
      <c r="O26" s="302"/>
      <c r="P26" s="154"/>
      <c r="Q26" s="154"/>
    </row>
    <row r="27" spans="1:17" s="155" customFormat="1" x14ac:dyDescent="0.25">
      <c r="A27" s="292" t="s">
        <v>32</v>
      </c>
      <c r="B27" s="292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2"/>
      <c r="O27" s="292"/>
      <c r="P27" s="154"/>
      <c r="Q27" s="154"/>
    </row>
    <row r="28" spans="1:17" s="155" customFormat="1" x14ac:dyDescent="0.25">
      <c r="A28" s="302" t="s">
        <v>132</v>
      </c>
      <c r="B28" s="302"/>
      <c r="C28" s="302"/>
      <c r="D28" s="302"/>
      <c r="E28" s="302"/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P28" s="154"/>
      <c r="Q28" s="154"/>
    </row>
    <row r="29" spans="1:17" s="155" customFormat="1" x14ac:dyDescent="0.25">
      <c r="A29" s="292" t="s">
        <v>32</v>
      </c>
      <c r="B29" s="292"/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154"/>
      <c r="Q29" s="154"/>
    </row>
    <row r="30" spans="1:17" x14ac:dyDescent="0.25">
      <c r="A30" s="45"/>
      <c r="B30" s="46"/>
      <c r="C30" s="303"/>
      <c r="D30" s="303"/>
      <c r="E30" s="303"/>
      <c r="F30" s="303"/>
      <c r="G30" s="47"/>
      <c r="H30" s="47"/>
      <c r="I30" s="48"/>
      <c r="J30" s="49"/>
      <c r="K30" s="49"/>
      <c r="L30" s="49"/>
      <c r="M30" s="49"/>
    </row>
    <row r="31" spans="1:17" x14ac:dyDescent="0.25">
      <c r="A31" s="45"/>
      <c r="B31" s="46"/>
      <c r="C31" s="303"/>
      <c r="D31" s="303"/>
      <c r="E31" s="303"/>
      <c r="F31" s="303"/>
      <c r="G31" s="47"/>
      <c r="H31" s="47"/>
      <c r="I31" s="48"/>
      <c r="J31" s="49"/>
      <c r="K31" s="49"/>
      <c r="L31" s="49"/>
      <c r="M31" s="49"/>
    </row>
    <row r="32" spans="1:17" x14ac:dyDescent="0.25">
      <c r="A32" s="45"/>
      <c r="B32" s="46"/>
      <c r="C32" s="303"/>
      <c r="D32" s="303"/>
      <c r="E32" s="303"/>
      <c r="F32" s="303"/>
      <c r="G32" s="47"/>
      <c r="H32" s="47"/>
      <c r="I32" s="48"/>
      <c r="J32" s="49"/>
      <c r="K32" s="49"/>
      <c r="L32" s="49"/>
      <c r="M32" s="49"/>
    </row>
    <row r="33" spans="1:13" x14ac:dyDescent="0.25">
      <c r="A33" s="45"/>
      <c r="B33" s="46"/>
      <c r="C33" s="303"/>
      <c r="D33" s="303"/>
      <c r="E33" s="303"/>
      <c r="F33" s="303"/>
      <c r="G33" s="47"/>
      <c r="H33" s="47"/>
      <c r="I33" s="48"/>
      <c r="J33" s="49"/>
      <c r="K33" s="49"/>
      <c r="L33" s="49"/>
      <c r="M33" s="49"/>
    </row>
    <row r="34" spans="1:13" x14ac:dyDescent="0.25">
      <c r="A34" s="45"/>
      <c r="B34" s="46"/>
      <c r="C34" s="303"/>
      <c r="D34" s="303"/>
      <c r="E34" s="303"/>
      <c r="F34" s="303"/>
      <c r="G34" s="47"/>
      <c r="H34" s="47"/>
      <c r="I34" s="48"/>
      <c r="J34" s="49"/>
      <c r="K34" s="49"/>
      <c r="L34" s="49"/>
      <c r="M34" s="49"/>
    </row>
    <row r="35" spans="1:13" x14ac:dyDescent="0.25">
      <c r="A35" s="45"/>
      <c r="B35" s="46"/>
      <c r="C35" s="303"/>
      <c r="D35" s="303"/>
      <c r="E35" s="303"/>
      <c r="F35" s="303"/>
      <c r="G35" s="47"/>
      <c r="H35" s="47"/>
      <c r="I35" s="48"/>
      <c r="J35" s="49"/>
      <c r="K35" s="49"/>
      <c r="L35" s="49"/>
      <c r="M35" s="49"/>
    </row>
    <row r="36" spans="1:13" x14ac:dyDescent="0.25">
      <c r="A36" s="45"/>
      <c r="B36" s="46"/>
      <c r="C36" s="303"/>
      <c r="D36" s="303"/>
      <c r="E36" s="303"/>
      <c r="F36" s="303"/>
      <c r="G36" s="47"/>
      <c r="H36" s="47"/>
      <c r="I36" s="48"/>
      <c r="J36" s="49"/>
      <c r="K36" s="49"/>
      <c r="L36" s="49"/>
      <c r="M36" s="49"/>
    </row>
    <row r="37" spans="1:13" x14ac:dyDescent="0.25">
      <c r="A37" s="45"/>
      <c r="B37" s="46"/>
      <c r="C37" s="303"/>
      <c r="D37" s="303"/>
      <c r="E37" s="303"/>
      <c r="F37" s="303"/>
      <c r="G37" s="47"/>
      <c r="H37" s="47"/>
      <c r="I37" s="48"/>
      <c r="J37" s="49"/>
      <c r="K37" s="49"/>
      <c r="L37" s="49"/>
      <c r="M37" s="49"/>
    </row>
    <row r="38" spans="1:13" x14ac:dyDescent="0.25">
      <c r="A38" s="45"/>
      <c r="B38" s="46"/>
      <c r="C38" s="303"/>
      <c r="D38" s="303"/>
      <c r="E38" s="303"/>
      <c r="F38" s="303"/>
      <c r="G38" s="47"/>
      <c r="H38" s="47"/>
      <c r="I38" s="48"/>
      <c r="J38" s="49"/>
      <c r="K38" s="49"/>
      <c r="L38" s="49"/>
      <c r="M38" s="49"/>
    </row>
    <row r="39" spans="1:13" x14ac:dyDescent="0.25">
      <c r="A39" s="45"/>
      <c r="B39" s="46"/>
      <c r="C39" s="303"/>
      <c r="D39" s="303"/>
      <c r="E39" s="303"/>
      <c r="F39" s="303"/>
      <c r="G39" s="47"/>
      <c r="H39" s="47"/>
      <c r="I39" s="48"/>
      <c r="J39" s="49"/>
      <c r="K39" s="49"/>
      <c r="L39" s="49"/>
      <c r="M39" s="49"/>
    </row>
    <row r="40" spans="1:13" x14ac:dyDescent="0.25">
      <c r="A40" s="45"/>
      <c r="B40" s="46"/>
      <c r="C40" s="303"/>
      <c r="D40" s="303"/>
      <c r="E40" s="303"/>
      <c r="F40" s="303"/>
      <c r="G40" s="47"/>
      <c r="H40" s="47"/>
      <c r="I40" s="48"/>
      <c r="J40" s="49"/>
      <c r="K40" s="49"/>
      <c r="L40" s="49"/>
      <c r="M40" s="49"/>
    </row>
    <row r="41" spans="1:13" x14ac:dyDescent="0.25">
      <c r="A41" s="45"/>
      <c r="B41" s="46"/>
      <c r="C41" s="303"/>
      <c r="D41" s="303"/>
      <c r="E41" s="303"/>
      <c r="F41" s="303"/>
      <c r="G41" s="47"/>
      <c r="H41" s="47"/>
      <c r="I41" s="48"/>
      <c r="J41" s="49"/>
      <c r="K41" s="49"/>
      <c r="L41" s="49"/>
      <c r="M41" s="49"/>
    </row>
    <row r="42" spans="1:13" x14ac:dyDescent="0.25">
      <c r="A42" s="45"/>
      <c r="B42" s="46"/>
      <c r="C42" s="303"/>
      <c r="D42" s="303"/>
      <c r="E42" s="303"/>
      <c r="F42" s="303"/>
      <c r="G42" s="47"/>
      <c r="H42" s="47"/>
      <c r="I42" s="48"/>
      <c r="J42" s="49"/>
      <c r="K42" s="49"/>
      <c r="L42" s="49"/>
      <c r="M42" s="49"/>
    </row>
    <row r="43" spans="1:13" x14ac:dyDescent="0.25">
      <c r="A43" s="45"/>
      <c r="B43" s="46"/>
      <c r="C43" s="303"/>
      <c r="D43" s="303"/>
      <c r="E43" s="303"/>
      <c r="F43" s="303"/>
      <c r="G43" s="47"/>
      <c r="H43" s="47"/>
      <c r="I43" s="48"/>
      <c r="J43" s="49"/>
      <c r="K43" s="49"/>
      <c r="L43" s="49"/>
      <c r="M43" s="49"/>
    </row>
    <row r="44" spans="1:13" x14ac:dyDescent="0.25">
      <c r="A44" s="45"/>
      <c r="B44" s="46"/>
      <c r="C44" s="303"/>
      <c r="D44" s="303"/>
      <c r="E44" s="303"/>
      <c r="F44" s="303"/>
      <c r="G44" s="47"/>
      <c r="H44" s="47"/>
      <c r="I44" s="48"/>
      <c r="J44" s="49"/>
      <c r="K44" s="49"/>
      <c r="L44" s="49"/>
      <c r="M44" s="49"/>
    </row>
    <row r="45" spans="1:13" x14ac:dyDescent="0.25">
      <c r="A45" s="45"/>
      <c r="B45" s="46"/>
      <c r="C45" s="303"/>
      <c r="D45" s="303"/>
      <c r="E45" s="303"/>
      <c r="F45" s="303"/>
      <c r="G45" s="47"/>
      <c r="H45" s="47"/>
      <c r="I45" s="48"/>
      <c r="J45" s="49"/>
      <c r="K45" s="49"/>
      <c r="L45" s="49"/>
      <c r="M45" s="49"/>
    </row>
    <row r="46" spans="1:13" x14ac:dyDescent="0.25">
      <c r="A46" s="45"/>
      <c r="B46" s="46"/>
      <c r="C46" s="303"/>
      <c r="D46" s="303"/>
      <c r="E46" s="303"/>
      <c r="F46" s="303"/>
      <c r="G46" s="47"/>
      <c r="H46" s="47"/>
      <c r="I46" s="48"/>
      <c r="J46" s="49"/>
      <c r="K46" s="49"/>
      <c r="L46" s="49"/>
      <c r="M46" s="49"/>
    </row>
    <row r="47" spans="1:13" x14ac:dyDescent="0.25">
      <c r="A47" s="45"/>
      <c r="B47" s="46"/>
      <c r="C47" s="303"/>
      <c r="D47" s="303"/>
      <c r="E47" s="303"/>
      <c r="F47" s="303"/>
      <c r="G47" s="47"/>
      <c r="H47" s="47"/>
      <c r="I47" s="48"/>
      <c r="J47" s="49"/>
      <c r="K47" s="49"/>
      <c r="L47" s="49"/>
      <c r="M47" s="49"/>
    </row>
    <row r="48" spans="1:13" x14ac:dyDescent="0.25">
      <c r="A48" s="45"/>
      <c r="B48" s="46"/>
      <c r="C48" s="303"/>
      <c r="D48" s="303"/>
      <c r="E48" s="303"/>
      <c r="F48" s="303"/>
      <c r="G48" s="47"/>
      <c r="H48" s="47"/>
      <c r="I48" s="48"/>
      <c r="J48" s="49"/>
      <c r="K48" s="49"/>
      <c r="L48" s="49"/>
      <c r="M48" s="49"/>
    </row>
    <row r="49" spans="1:13" x14ac:dyDescent="0.25">
      <c r="A49" s="45"/>
      <c r="B49" s="46"/>
      <c r="C49" s="303"/>
      <c r="D49" s="303"/>
      <c r="E49" s="303"/>
      <c r="F49" s="303"/>
      <c r="G49" s="47"/>
      <c r="H49" s="47"/>
      <c r="I49" s="48"/>
      <c r="J49" s="49"/>
      <c r="K49" s="49"/>
      <c r="L49" s="49"/>
      <c r="M49" s="49"/>
    </row>
    <row r="50" spans="1:13" x14ac:dyDescent="0.25">
      <c r="A50" s="45"/>
      <c r="B50" s="46"/>
      <c r="C50" s="303"/>
      <c r="D50" s="303"/>
      <c r="E50" s="303"/>
      <c r="F50" s="303"/>
      <c r="G50" s="47"/>
      <c r="H50" s="47"/>
      <c r="I50" s="48"/>
      <c r="J50" s="49"/>
      <c r="K50" s="49"/>
      <c r="L50" s="49"/>
      <c r="M50" s="49"/>
    </row>
    <row r="51" spans="1:13" x14ac:dyDescent="0.25">
      <c r="A51" s="45"/>
      <c r="B51" s="46"/>
      <c r="C51" s="303"/>
      <c r="D51" s="303"/>
      <c r="E51" s="303"/>
      <c r="F51" s="303"/>
      <c r="G51" s="47"/>
      <c r="H51" s="47"/>
      <c r="I51" s="48"/>
      <c r="J51" s="49"/>
      <c r="K51" s="49"/>
      <c r="L51" s="49"/>
      <c r="M51" s="49"/>
    </row>
    <row r="52" spans="1:13" x14ac:dyDescent="0.25">
      <c r="A52" s="45"/>
      <c r="B52" s="46"/>
      <c r="C52" s="303"/>
      <c r="D52" s="303"/>
      <c r="E52" s="303"/>
      <c r="F52" s="303"/>
      <c r="G52" s="47"/>
      <c r="H52" s="47"/>
      <c r="I52" s="48"/>
      <c r="J52" s="49"/>
      <c r="K52" s="49"/>
      <c r="L52" s="49"/>
      <c r="M52" s="49"/>
    </row>
    <row r="53" spans="1:13" x14ac:dyDescent="0.25">
      <c r="A53" s="45"/>
      <c r="B53" s="46"/>
      <c r="C53" s="303"/>
      <c r="D53" s="303"/>
      <c r="E53" s="303"/>
      <c r="F53" s="303"/>
      <c r="G53" s="47"/>
      <c r="H53" s="47"/>
      <c r="I53" s="48"/>
      <c r="J53" s="49"/>
      <c r="K53" s="49"/>
      <c r="L53" s="49"/>
      <c r="M53" s="49"/>
    </row>
    <row r="54" spans="1:13" x14ac:dyDescent="0.25">
      <c r="A54" s="45"/>
      <c r="B54" s="46"/>
      <c r="C54" s="303"/>
      <c r="D54" s="303"/>
      <c r="E54" s="303"/>
      <c r="F54" s="303"/>
      <c r="G54" s="47"/>
      <c r="H54" s="47"/>
      <c r="I54" s="48"/>
      <c r="J54" s="49"/>
      <c r="K54" s="49"/>
      <c r="L54" s="49"/>
      <c r="M54" s="49"/>
    </row>
    <row r="55" spans="1:13" x14ac:dyDescent="0.25">
      <c r="A55" s="45"/>
      <c r="B55" s="46"/>
      <c r="C55" s="303"/>
      <c r="D55" s="303"/>
      <c r="E55" s="303"/>
      <c r="F55" s="303"/>
      <c r="G55" s="47"/>
      <c r="H55" s="47"/>
      <c r="I55" s="48"/>
      <c r="J55" s="49"/>
      <c r="K55" s="49"/>
      <c r="L55" s="49"/>
      <c r="M55" s="49"/>
    </row>
    <row r="56" spans="1:13" x14ac:dyDescent="0.25">
      <c r="A56" s="45"/>
      <c r="B56" s="46"/>
      <c r="C56" s="303"/>
      <c r="D56" s="303"/>
      <c r="E56" s="303"/>
      <c r="F56" s="303"/>
      <c r="G56" s="47"/>
      <c r="H56" s="47"/>
      <c r="I56" s="48"/>
      <c r="J56" s="49"/>
      <c r="K56" s="49"/>
      <c r="L56" s="49"/>
      <c r="M56" s="49"/>
    </row>
    <row r="57" spans="1:13" x14ac:dyDescent="0.25">
      <c r="A57" s="45"/>
      <c r="B57" s="46"/>
      <c r="C57" s="303"/>
      <c r="D57" s="303"/>
      <c r="E57" s="303"/>
      <c r="F57" s="303"/>
      <c r="G57" s="47"/>
      <c r="H57" s="47"/>
      <c r="I57" s="48"/>
      <c r="J57" s="49"/>
      <c r="K57" s="49"/>
      <c r="L57" s="49"/>
      <c r="M57" s="49"/>
    </row>
    <row r="58" spans="1:13" x14ac:dyDescent="0.25">
      <c r="A58" s="45"/>
      <c r="B58" s="46"/>
      <c r="C58" s="303"/>
      <c r="D58" s="303"/>
      <c r="E58" s="303"/>
      <c r="F58" s="303"/>
      <c r="G58" s="47"/>
      <c r="H58" s="47"/>
      <c r="I58" s="48"/>
      <c r="J58" s="49"/>
      <c r="K58" s="49"/>
      <c r="L58" s="49"/>
      <c r="M58" s="49"/>
    </row>
    <row r="59" spans="1:13" x14ac:dyDescent="0.25">
      <c r="A59" s="45"/>
      <c r="B59" s="46"/>
      <c r="C59" s="303"/>
      <c r="D59" s="303"/>
      <c r="E59" s="303"/>
      <c r="F59" s="303"/>
      <c r="G59" s="47"/>
      <c r="H59" s="47"/>
      <c r="I59" s="48"/>
      <c r="J59" s="49"/>
      <c r="K59" s="49"/>
      <c r="L59" s="49"/>
      <c r="M59" s="49"/>
    </row>
    <row r="60" spans="1:13" x14ac:dyDescent="0.25">
      <c r="A60" s="45"/>
      <c r="B60" s="46"/>
      <c r="C60" s="303"/>
      <c r="D60" s="303"/>
      <c r="E60" s="303"/>
      <c r="F60" s="303"/>
      <c r="G60" s="47"/>
      <c r="H60" s="47"/>
      <c r="I60" s="48"/>
      <c r="J60" s="49"/>
      <c r="K60" s="49"/>
      <c r="L60" s="49"/>
      <c r="M60" s="49"/>
    </row>
    <row r="61" spans="1:13" x14ac:dyDescent="0.25">
      <c r="A61" s="45"/>
      <c r="B61" s="46"/>
      <c r="C61" s="303"/>
      <c r="D61" s="303"/>
      <c r="E61" s="303"/>
      <c r="F61" s="303"/>
      <c r="G61" s="47"/>
      <c r="H61" s="47"/>
      <c r="I61" s="48"/>
      <c r="J61" s="49"/>
      <c r="K61" s="49"/>
      <c r="L61" s="49"/>
      <c r="M61" s="49"/>
    </row>
    <row r="62" spans="1:13" x14ac:dyDescent="0.25">
      <c r="A62" s="45"/>
      <c r="B62" s="46"/>
      <c r="C62" s="303"/>
      <c r="D62" s="303"/>
      <c r="E62" s="303"/>
      <c r="F62" s="303"/>
      <c r="G62" s="47"/>
      <c r="H62" s="47"/>
      <c r="I62" s="48"/>
      <c r="J62" s="49"/>
      <c r="K62" s="49"/>
      <c r="L62" s="49"/>
      <c r="M62" s="49"/>
    </row>
    <row r="63" spans="1:13" x14ac:dyDescent="0.25">
      <c r="A63" s="45"/>
      <c r="B63" s="46"/>
      <c r="C63" s="303"/>
      <c r="D63" s="303"/>
      <c r="E63" s="303"/>
      <c r="F63" s="303"/>
      <c r="G63" s="47"/>
      <c r="H63" s="47"/>
      <c r="I63" s="48"/>
      <c r="J63" s="49"/>
      <c r="K63" s="49"/>
      <c r="L63" s="49"/>
      <c r="M63" s="49"/>
    </row>
    <row r="64" spans="1:13" x14ac:dyDescent="0.25">
      <c r="A64" s="45"/>
      <c r="B64" s="46"/>
      <c r="C64" s="303"/>
      <c r="D64" s="303"/>
      <c r="E64" s="303"/>
      <c r="F64" s="303"/>
      <c r="G64" s="47"/>
      <c r="H64" s="47"/>
      <c r="I64" s="48"/>
      <c r="J64" s="49"/>
      <c r="K64" s="49"/>
      <c r="L64" s="49"/>
      <c r="M64" s="49"/>
    </row>
    <row r="65" spans="1:13" x14ac:dyDescent="0.25">
      <c r="A65" s="45"/>
      <c r="B65" s="46"/>
      <c r="C65" s="303"/>
      <c r="D65" s="303"/>
      <c r="E65" s="303"/>
      <c r="F65" s="303"/>
      <c r="G65" s="47"/>
      <c r="H65" s="47"/>
      <c r="I65" s="48"/>
      <c r="J65" s="49"/>
      <c r="K65" s="49"/>
      <c r="L65" s="49"/>
      <c r="M65" s="49"/>
    </row>
    <row r="66" spans="1:13" x14ac:dyDescent="0.25">
      <c r="A66" s="45"/>
      <c r="B66" s="46"/>
      <c r="C66" s="303"/>
      <c r="D66" s="303"/>
      <c r="E66" s="303"/>
      <c r="F66" s="303"/>
      <c r="G66" s="47"/>
      <c r="H66" s="47"/>
      <c r="I66" s="48"/>
      <c r="J66" s="49"/>
      <c r="K66" s="49"/>
      <c r="L66" s="49"/>
      <c r="M66" s="49"/>
    </row>
    <row r="67" spans="1:13" x14ac:dyDescent="0.25">
      <c r="A67" s="45"/>
      <c r="B67" s="46"/>
      <c r="C67" s="303"/>
      <c r="D67" s="303"/>
      <c r="E67" s="303"/>
      <c r="F67" s="303"/>
      <c r="G67" s="47"/>
      <c r="H67" s="47"/>
      <c r="I67" s="48"/>
      <c r="J67" s="49"/>
      <c r="K67" s="49"/>
      <c r="L67" s="49"/>
      <c r="M67" s="49"/>
    </row>
    <row r="68" spans="1:13" x14ac:dyDescent="0.25">
      <c r="A68" s="45"/>
      <c r="B68" s="46"/>
      <c r="C68" s="303"/>
      <c r="D68" s="303"/>
      <c r="E68" s="303"/>
      <c r="F68" s="303"/>
      <c r="G68" s="47"/>
      <c r="H68" s="47"/>
      <c r="I68" s="48"/>
      <c r="J68" s="49"/>
      <c r="K68" s="49"/>
      <c r="L68" s="49"/>
      <c r="M68" s="49"/>
    </row>
    <row r="69" spans="1:13" x14ac:dyDescent="0.25">
      <c r="A69" s="45"/>
      <c r="B69" s="46"/>
      <c r="C69" s="303"/>
      <c r="D69" s="303"/>
      <c r="E69" s="303"/>
      <c r="F69" s="303"/>
      <c r="G69" s="47"/>
      <c r="H69" s="47"/>
      <c r="I69" s="48"/>
      <c r="J69" s="49"/>
      <c r="K69" s="49"/>
      <c r="L69" s="49"/>
      <c r="M69" s="49"/>
    </row>
    <row r="70" spans="1:13" x14ac:dyDescent="0.25">
      <c r="A70" s="45"/>
      <c r="B70" s="46"/>
      <c r="C70" s="303"/>
      <c r="D70" s="303"/>
      <c r="E70" s="303"/>
      <c r="F70" s="303"/>
      <c r="G70" s="47"/>
      <c r="H70" s="47"/>
      <c r="I70" s="48"/>
      <c r="J70" s="49"/>
      <c r="K70" s="49"/>
      <c r="L70" s="49"/>
      <c r="M70" s="49"/>
    </row>
    <row r="71" spans="1:13" x14ac:dyDescent="0.25">
      <c r="A71" s="45"/>
      <c r="B71" s="46"/>
      <c r="C71" s="303"/>
      <c r="D71" s="303"/>
      <c r="E71" s="303"/>
      <c r="F71" s="303"/>
      <c r="G71" s="47"/>
      <c r="H71" s="47"/>
      <c r="I71" s="48"/>
      <c r="J71" s="49"/>
      <c r="K71" s="49"/>
      <c r="L71" s="49"/>
      <c r="M71" s="49"/>
    </row>
    <row r="72" spans="1:13" x14ac:dyDescent="0.25">
      <c r="A72" s="45"/>
      <c r="B72" s="46"/>
      <c r="C72" s="303"/>
      <c r="D72" s="303"/>
      <c r="E72" s="303"/>
      <c r="F72" s="303"/>
      <c r="G72" s="47"/>
      <c r="H72" s="47"/>
      <c r="I72" s="48"/>
      <c r="J72" s="49"/>
      <c r="K72" s="49"/>
      <c r="L72" s="49"/>
      <c r="M72" s="49"/>
    </row>
    <row r="73" spans="1:13" x14ac:dyDescent="0.25">
      <c r="A73" s="45"/>
      <c r="B73" s="46"/>
      <c r="C73" s="303"/>
      <c r="D73" s="303"/>
      <c r="E73" s="303"/>
      <c r="F73" s="303"/>
      <c r="G73" s="47"/>
      <c r="H73" s="47"/>
      <c r="I73" s="48"/>
      <c r="J73" s="49"/>
      <c r="K73" s="49"/>
      <c r="L73" s="49"/>
      <c r="M73" s="49"/>
    </row>
    <row r="74" spans="1:13" x14ac:dyDescent="0.25">
      <c r="A74" s="45"/>
      <c r="B74" s="46"/>
      <c r="C74" s="303"/>
      <c r="D74" s="303"/>
      <c r="E74" s="303"/>
      <c r="F74" s="303"/>
      <c r="G74" s="47"/>
      <c r="H74" s="47"/>
      <c r="I74" s="48"/>
      <c r="J74" s="49"/>
      <c r="K74" s="49"/>
      <c r="L74" s="49"/>
      <c r="M74" s="49"/>
    </row>
    <row r="75" spans="1:13" x14ac:dyDescent="0.25">
      <c r="A75" s="45"/>
      <c r="B75" s="46"/>
      <c r="C75" s="303"/>
      <c r="D75" s="303"/>
      <c r="E75" s="303"/>
      <c r="F75" s="303"/>
      <c r="G75" s="47"/>
      <c r="H75" s="47"/>
      <c r="I75" s="48"/>
      <c r="J75" s="49"/>
      <c r="K75" s="49"/>
      <c r="L75" s="49"/>
      <c r="M75" s="49"/>
    </row>
    <row r="76" spans="1:13" x14ac:dyDescent="0.25">
      <c r="A76" s="45"/>
      <c r="B76" s="46"/>
      <c r="C76" s="303"/>
      <c r="D76" s="303"/>
      <c r="E76" s="303"/>
      <c r="F76" s="303"/>
      <c r="G76" s="47"/>
      <c r="H76" s="47"/>
      <c r="I76" s="48"/>
      <c r="J76" s="49"/>
      <c r="K76" s="49"/>
      <c r="L76" s="49"/>
      <c r="M76" s="49"/>
    </row>
    <row r="77" spans="1:13" x14ac:dyDescent="0.25">
      <c r="A77" s="45"/>
      <c r="B77" s="46"/>
      <c r="C77" s="303"/>
      <c r="D77" s="303"/>
      <c r="E77" s="303"/>
      <c r="F77" s="303"/>
      <c r="G77" s="47"/>
      <c r="H77" s="47"/>
      <c r="I77" s="48"/>
      <c r="J77" s="49"/>
      <c r="K77" s="49"/>
      <c r="L77" s="49"/>
      <c r="M77" s="49"/>
    </row>
    <row r="78" spans="1:13" x14ac:dyDescent="0.25">
      <c r="A78" s="45"/>
      <c r="B78" s="46"/>
      <c r="C78" s="303"/>
      <c r="D78" s="303"/>
      <c r="E78" s="303"/>
      <c r="F78" s="303"/>
      <c r="G78" s="47"/>
      <c r="H78" s="47"/>
      <c r="I78" s="48"/>
      <c r="J78" s="49"/>
      <c r="K78" s="49"/>
      <c r="L78" s="49"/>
      <c r="M78" s="49"/>
    </row>
    <row r="79" spans="1:13" x14ac:dyDescent="0.25">
      <c r="A79" s="45"/>
      <c r="B79" s="46"/>
      <c r="C79" s="303"/>
      <c r="D79" s="303"/>
      <c r="E79" s="303"/>
      <c r="F79" s="303"/>
      <c r="G79" s="47"/>
      <c r="H79" s="47"/>
      <c r="I79" s="48"/>
      <c r="J79" s="49"/>
      <c r="K79" s="49"/>
      <c r="L79" s="49"/>
      <c r="M79" s="49"/>
    </row>
    <row r="80" spans="1:13" x14ac:dyDescent="0.25">
      <c r="A80" s="51"/>
      <c r="C80" s="301"/>
      <c r="D80" s="301"/>
      <c r="E80" s="301"/>
      <c r="F80" s="301"/>
      <c r="G80" s="51"/>
      <c r="H80" s="51"/>
      <c r="I80" s="51"/>
      <c r="J80" s="51"/>
      <c r="K80" s="51"/>
      <c r="L80" s="51"/>
      <c r="M80" s="51"/>
    </row>
    <row r="81" spans="1:13" x14ac:dyDescent="0.25">
      <c r="A81" s="51"/>
      <c r="C81" s="301"/>
      <c r="D81" s="301"/>
      <c r="E81" s="301"/>
      <c r="F81" s="301"/>
      <c r="G81" s="51"/>
      <c r="H81" s="51"/>
      <c r="I81" s="51"/>
      <c r="J81" s="51"/>
      <c r="K81" s="51"/>
      <c r="L81" s="51"/>
      <c r="M81" s="51"/>
    </row>
    <row r="82" spans="1:13" x14ac:dyDescent="0.25">
      <c r="C82" s="289"/>
      <c r="D82" s="289"/>
      <c r="E82" s="289"/>
      <c r="F82" s="289"/>
      <c r="G82" s="51"/>
      <c r="H82" s="51"/>
      <c r="I82" s="51"/>
      <c r="J82" s="51"/>
      <c r="K82" s="51"/>
      <c r="L82" s="51"/>
      <c r="M82" s="51"/>
    </row>
    <row r="83" spans="1:13" x14ac:dyDescent="0.25">
      <c r="C83" s="289"/>
      <c r="D83" s="289"/>
      <c r="E83" s="289"/>
      <c r="F83" s="289"/>
      <c r="G83" s="51"/>
      <c r="H83" s="51"/>
      <c r="I83" s="51"/>
      <c r="J83" s="51"/>
      <c r="K83" s="51"/>
      <c r="L83" s="51"/>
      <c r="M83" s="51"/>
    </row>
    <row r="84" spans="1:13" x14ac:dyDescent="0.25">
      <c r="C84" s="289"/>
      <c r="D84" s="289"/>
      <c r="E84" s="289"/>
      <c r="F84" s="289"/>
      <c r="G84" s="51"/>
      <c r="H84" s="51"/>
      <c r="I84" s="51"/>
      <c r="J84" s="51"/>
      <c r="K84" s="51"/>
      <c r="L84" s="51"/>
      <c r="M84" s="51"/>
    </row>
    <row r="85" spans="1:13" x14ac:dyDescent="0.25">
      <c r="C85" s="289"/>
      <c r="D85" s="289"/>
      <c r="E85" s="289"/>
      <c r="F85" s="289"/>
      <c r="G85" s="51"/>
      <c r="H85" s="51"/>
      <c r="I85" s="51"/>
      <c r="J85" s="51"/>
      <c r="K85" s="51"/>
      <c r="L85" s="51"/>
      <c r="M85" s="51"/>
    </row>
    <row r="86" spans="1:13" x14ac:dyDescent="0.25">
      <c r="C86" s="289"/>
      <c r="D86" s="289"/>
      <c r="E86" s="289"/>
      <c r="F86" s="289"/>
      <c r="G86" s="51"/>
      <c r="H86" s="51"/>
      <c r="I86" s="51"/>
      <c r="J86" s="51"/>
      <c r="K86" s="51"/>
      <c r="L86" s="51"/>
      <c r="M86" s="51"/>
    </row>
    <row r="87" spans="1:13" x14ac:dyDescent="0.25">
      <c r="C87" s="289"/>
      <c r="D87" s="289"/>
      <c r="E87" s="289"/>
      <c r="F87" s="289"/>
      <c r="G87" s="51"/>
      <c r="H87" s="51"/>
      <c r="I87" s="51"/>
      <c r="J87" s="51"/>
      <c r="K87" s="51"/>
      <c r="L87" s="51"/>
      <c r="M87" s="51"/>
    </row>
  </sheetData>
  <mergeCells count="78">
    <mergeCell ref="C84:F84"/>
    <mergeCell ref="C85:F85"/>
    <mergeCell ref="C86:F86"/>
    <mergeCell ref="C87:F87"/>
    <mergeCell ref="C78:F78"/>
    <mergeCell ref="C79:F79"/>
    <mergeCell ref="C80:F80"/>
    <mergeCell ref="C81:F81"/>
    <mergeCell ref="C82:F82"/>
    <mergeCell ref="C83:F83"/>
    <mergeCell ref="C77:F77"/>
    <mergeCell ref="C66:F66"/>
    <mergeCell ref="C67:F6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65:F65"/>
    <mergeCell ref="C54:F54"/>
    <mergeCell ref="C55:F55"/>
    <mergeCell ref="C56:F56"/>
    <mergeCell ref="C57:F57"/>
    <mergeCell ref="C58:F58"/>
    <mergeCell ref="C59:F59"/>
    <mergeCell ref="C60:F60"/>
    <mergeCell ref="C61:F61"/>
    <mergeCell ref="C62:F62"/>
    <mergeCell ref="C63:F63"/>
    <mergeCell ref="C64:F64"/>
    <mergeCell ref="C53:F53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41:F41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A29:O29"/>
    <mergeCell ref="C17:F17"/>
    <mergeCell ref="A18:M18"/>
    <mergeCell ref="B19:B23"/>
    <mergeCell ref="C19:F19"/>
    <mergeCell ref="C20:F20"/>
    <mergeCell ref="C21:F21"/>
    <mergeCell ref="C22:F22"/>
    <mergeCell ref="C23:F23"/>
    <mergeCell ref="A24:L24"/>
    <mergeCell ref="C25:F25"/>
    <mergeCell ref="A26:O26"/>
    <mergeCell ref="A27:O27"/>
    <mergeCell ref="A28:O28"/>
    <mergeCell ref="C16:F16"/>
    <mergeCell ref="A5:N5"/>
    <mergeCell ref="A6:N6"/>
    <mergeCell ref="A7:N7"/>
    <mergeCell ref="A12:N12"/>
    <mergeCell ref="A13:N13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сводная таблица</vt:lpstr>
      <vt:lpstr>Расчет на 1 усл. ед.</vt:lpstr>
      <vt:lpstr>Протокол МТП, ТП, СТП</vt:lpstr>
      <vt:lpstr>Протокол ВЛ-10</vt:lpstr>
      <vt:lpstr>Протокол ВЛ-0,4</vt:lpstr>
      <vt:lpstr>ПИРы</vt:lpstr>
      <vt:lpstr>ПИРы!Область_печати</vt:lpstr>
      <vt:lpstr>'Протокол ВЛ-0,4'!Область_печати</vt:lpstr>
      <vt:lpstr>'Протокол ВЛ-10'!Область_печати</vt:lpstr>
      <vt:lpstr>'Расчет на 1 усл. ед.'!Область_печати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2018-11-28T06:54:47Z</dcterms:modified>
</cp:coreProperties>
</file>