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5"/>
  </bookViews>
  <sheets>
    <sheet name="СИП-50 город" sheetId="1" r:id="rId1"/>
    <sheet name="СИП-50 с просекой" sheetId="5" r:id="rId2"/>
    <sheet name="СИП-70 город" sheetId="6" r:id="rId3"/>
    <sheet name="СИП-70 с просекой" sheetId="7" r:id="rId4"/>
    <sheet name="СИП-95 город" sheetId="8" r:id="rId5"/>
    <sheet name="СИП-95 с просекой" sheetId="9" r:id="rId6"/>
  </sheets>
  <calcPr calcId="145621"/>
</workbook>
</file>

<file path=xl/calcChain.xml><?xml version="1.0" encoding="utf-8"?>
<calcChain xmlns="http://schemas.openxmlformats.org/spreadsheetml/2006/main">
  <c r="I20" i="9" l="1"/>
  <c r="L20" i="9"/>
  <c r="H20" i="9"/>
  <c r="H19" i="9"/>
  <c r="I18" i="9"/>
  <c r="J18" i="1"/>
  <c r="L18" i="1"/>
  <c r="H19" i="1"/>
  <c r="J20" i="9"/>
  <c r="L19" i="9"/>
  <c r="I19" i="9"/>
  <c r="J19" i="9"/>
  <c r="J18" i="9"/>
  <c r="H18" i="9"/>
  <c r="K19" i="9"/>
  <c r="J18" i="7"/>
  <c r="I18" i="7"/>
  <c r="H18" i="7"/>
  <c r="L19" i="8"/>
  <c r="I19" i="8"/>
  <c r="J19" i="8"/>
  <c r="H19" i="8"/>
  <c r="L18" i="8"/>
  <c r="I18" i="8"/>
  <c r="J18" i="8"/>
  <c r="H18" i="8"/>
  <c r="J17" i="8"/>
  <c r="I17" i="8"/>
  <c r="H17" i="8"/>
  <c r="K18" i="8"/>
  <c r="L20" i="7"/>
  <c r="L19" i="7"/>
  <c r="I19" i="7"/>
  <c r="I20" i="7" s="1"/>
  <c r="J19" i="7"/>
  <c r="J20" i="7" s="1"/>
  <c r="H19" i="7"/>
  <c r="H20" i="7" s="1"/>
  <c r="I17" i="6"/>
  <c r="H17" i="6"/>
  <c r="H19" i="6"/>
  <c r="H18" i="6"/>
  <c r="L19" i="6"/>
  <c r="I19" i="6"/>
  <c r="J19" i="6"/>
  <c r="L18" i="6"/>
  <c r="I18" i="6"/>
  <c r="J18" i="6"/>
  <c r="J17" i="6"/>
  <c r="K18" i="6"/>
  <c r="L20" i="5"/>
  <c r="I20" i="5"/>
  <c r="J20" i="5"/>
  <c r="H20" i="5"/>
  <c r="L19" i="5"/>
  <c r="I19" i="5"/>
  <c r="J19" i="5"/>
  <c r="H19" i="5"/>
  <c r="K19" i="5" s="1"/>
  <c r="J18" i="5"/>
  <c r="I18" i="5"/>
  <c r="H18" i="5"/>
  <c r="H17" i="1"/>
  <c r="H18" i="1"/>
  <c r="L19" i="1"/>
  <c r="I19" i="1"/>
  <c r="J19" i="1"/>
  <c r="I18" i="1"/>
  <c r="L17" i="1"/>
  <c r="J17" i="1"/>
  <c r="I17" i="1"/>
  <c r="K18" i="1"/>
  <c r="K19" i="7" l="1"/>
  <c r="L18" i="9"/>
  <c r="L17" i="8"/>
  <c r="L18" i="7"/>
  <c r="L17" i="6"/>
  <c r="L18" i="5"/>
  <c r="F14" i="8" l="1"/>
  <c r="D14" i="8"/>
  <c r="F14" i="6"/>
  <c r="D14" i="6"/>
  <c r="F14" i="1"/>
  <c r="D14" i="1"/>
  <c r="D15" i="9" l="1"/>
  <c r="D15" i="5"/>
  <c r="F15" i="9" l="1"/>
  <c r="F14" i="9"/>
  <c r="G14" i="9" s="1"/>
  <c r="H14" i="9" s="1"/>
  <c r="E13" i="9"/>
  <c r="D13" i="9"/>
  <c r="G13" i="9" s="1"/>
  <c r="J13" i="9" s="1"/>
  <c r="E13" i="8"/>
  <c r="E13" i="7"/>
  <c r="E13" i="6"/>
  <c r="E13" i="1"/>
  <c r="E13" i="5"/>
  <c r="G14" i="8"/>
  <c r="D13" i="8"/>
  <c r="F15" i="7"/>
  <c r="G15" i="7" s="1"/>
  <c r="F14" i="7"/>
  <c r="G14" i="7" s="1"/>
  <c r="D13" i="7"/>
  <c r="G14" i="6"/>
  <c r="D13" i="6"/>
  <c r="G13" i="6" s="1"/>
  <c r="J13" i="6" s="1"/>
  <c r="F14" i="5"/>
  <c r="G14" i="5" s="1"/>
  <c r="F15" i="5"/>
  <c r="G15" i="5" s="1"/>
  <c r="D13" i="5"/>
  <c r="G13" i="5" s="1"/>
  <c r="J14" i="5" l="1"/>
  <c r="H14" i="5"/>
  <c r="K14" i="5" s="1"/>
  <c r="G15" i="9"/>
  <c r="J15" i="9" s="1"/>
  <c r="K13" i="9"/>
  <c r="J14" i="9"/>
  <c r="K14" i="9" s="1"/>
  <c r="G13" i="7"/>
  <c r="J13" i="7" s="1"/>
  <c r="J13" i="5"/>
  <c r="G13" i="8"/>
  <c r="J13" i="8" s="1"/>
  <c r="I14" i="8"/>
  <c r="I15" i="8" s="1"/>
  <c r="I16" i="8" s="1"/>
  <c r="J14" i="8"/>
  <c r="H14" i="8"/>
  <c r="H14" i="7"/>
  <c r="J14" i="7"/>
  <c r="K13" i="7"/>
  <c r="I15" i="7"/>
  <c r="I16" i="7" s="1"/>
  <c r="I17" i="7" s="1"/>
  <c r="J15" i="7"/>
  <c r="J16" i="7" s="1"/>
  <c r="J17" i="7" s="1"/>
  <c r="H15" i="7"/>
  <c r="K13" i="6"/>
  <c r="I14" i="6"/>
  <c r="I15" i="6" s="1"/>
  <c r="I16" i="6" s="1"/>
  <c r="J14" i="6"/>
  <c r="J15" i="6" s="1"/>
  <c r="J16" i="6" s="1"/>
  <c r="H14" i="6"/>
  <c r="L14" i="5"/>
  <c r="K13" i="5"/>
  <c r="I15" i="5"/>
  <c r="I16" i="5" s="1"/>
  <c r="I17" i="5" s="1"/>
  <c r="J15" i="5"/>
  <c r="J16" i="5" s="1"/>
  <c r="J17" i="5" s="1"/>
  <c r="H15" i="5"/>
  <c r="K15" i="7" l="1"/>
  <c r="I15" i="9"/>
  <c r="I16" i="9" s="1"/>
  <c r="I17" i="9" s="1"/>
  <c r="H15" i="9"/>
  <c r="K15" i="9"/>
  <c r="L14" i="9"/>
  <c r="J16" i="9"/>
  <c r="J17" i="9" s="1"/>
  <c r="H16" i="9"/>
  <c r="I21" i="9"/>
  <c r="I22" i="9" s="1"/>
  <c r="J15" i="8"/>
  <c r="J16" i="8" s="1"/>
  <c r="K13" i="8"/>
  <c r="J20" i="8"/>
  <c r="J21" i="8" s="1"/>
  <c r="K14" i="8"/>
  <c r="H15" i="8"/>
  <c r="I20" i="8"/>
  <c r="I21" i="8" s="1"/>
  <c r="J21" i="7"/>
  <c r="J22" i="7" s="1"/>
  <c r="L15" i="7"/>
  <c r="I21" i="7"/>
  <c r="I22" i="7" s="1"/>
  <c r="K14" i="7"/>
  <c r="H16" i="7"/>
  <c r="J20" i="6"/>
  <c r="J21" i="6" s="1"/>
  <c r="K14" i="6"/>
  <c r="H15" i="6"/>
  <c r="I20" i="6"/>
  <c r="I21" i="6" s="1"/>
  <c r="J21" i="5"/>
  <c r="J22" i="5" s="1"/>
  <c r="K15" i="5"/>
  <c r="H16" i="5"/>
  <c r="I21" i="5"/>
  <c r="I22" i="5" s="1"/>
  <c r="L15" i="9" l="1"/>
  <c r="K16" i="9"/>
  <c r="K17" i="9" s="1"/>
  <c r="H17" i="9"/>
  <c r="L16" i="9"/>
  <c r="L17" i="9" s="1"/>
  <c r="J21" i="9"/>
  <c r="J22" i="9" s="1"/>
  <c r="L14" i="8"/>
  <c r="L15" i="8" s="1"/>
  <c r="L16" i="8" s="1"/>
  <c r="K15" i="8"/>
  <c r="K16" i="8" s="1"/>
  <c r="H16" i="8"/>
  <c r="L14" i="7"/>
  <c r="L16" i="7" s="1"/>
  <c r="L17" i="7" s="1"/>
  <c r="K16" i="7"/>
  <c r="K17" i="7" s="1"/>
  <c r="H17" i="7"/>
  <c r="K15" i="6"/>
  <c r="K16" i="6" s="1"/>
  <c r="H16" i="6"/>
  <c r="L14" i="6"/>
  <c r="L15" i="6" s="1"/>
  <c r="L16" i="6" s="1"/>
  <c r="L15" i="5"/>
  <c r="L16" i="5" s="1"/>
  <c r="L17" i="5" s="1"/>
  <c r="K16" i="5"/>
  <c r="K17" i="5" s="1"/>
  <c r="H17" i="5"/>
  <c r="K18" i="9" l="1"/>
  <c r="L21" i="9"/>
  <c r="L22" i="9" s="1"/>
  <c r="K17" i="8"/>
  <c r="L20" i="8"/>
  <c r="L21" i="8" s="1"/>
  <c r="K18" i="7"/>
  <c r="L21" i="7"/>
  <c r="L22" i="7" s="1"/>
  <c r="L20" i="6"/>
  <c r="L21" i="6" s="1"/>
  <c r="K17" i="6"/>
  <c r="K18" i="5"/>
  <c r="L21" i="5"/>
  <c r="L22" i="5" s="1"/>
  <c r="K20" i="9" l="1"/>
  <c r="H21" i="9"/>
  <c r="K21" i="9" s="1"/>
  <c r="K19" i="8"/>
  <c r="H20" i="8"/>
  <c r="K20" i="8" s="1"/>
  <c r="K20" i="7"/>
  <c r="H21" i="7"/>
  <c r="K21" i="7" s="1"/>
  <c r="K19" i="6"/>
  <c r="H20" i="6"/>
  <c r="K20" i="6" s="1"/>
  <c r="K20" i="5"/>
  <c r="H21" i="5"/>
  <c r="K21" i="5" s="1"/>
  <c r="H22" i="9" l="1"/>
  <c r="K22" i="9" s="1"/>
  <c r="H21" i="8"/>
  <c r="K21" i="8" s="1"/>
  <c r="H22" i="7"/>
  <c r="K22" i="7" s="1"/>
  <c r="H21" i="6"/>
  <c r="K21" i="6" s="1"/>
  <c r="H22" i="5"/>
  <c r="K22" i="5" s="1"/>
  <c r="D13" i="1" l="1"/>
  <c r="G13" i="1" l="1"/>
  <c r="J13" i="1" s="1"/>
  <c r="K13" i="1" s="1"/>
  <c r="G14" i="1"/>
  <c r="J14" i="1" l="1"/>
  <c r="I14" i="1"/>
  <c r="I15" i="1" s="1"/>
  <c r="J15" i="1"/>
  <c r="H14" i="1"/>
  <c r="I16" i="1"/>
  <c r="J16" i="1" l="1"/>
  <c r="K14" i="1"/>
  <c r="H15" i="1"/>
  <c r="L14" i="1" l="1"/>
  <c r="I20" i="1"/>
  <c r="I21" i="1" s="1"/>
  <c r="L15" i="1"/>
  <c r="J20" i="1"/>
  <c r="J21" i="1" s="1"/>
  <c r="H16" i="1"/>
  <c r="K15" i="1"/>
  <c r="K16" i="1" l="1"/>
  <c r="K17" i="1"/>
  <c r="L16" i="1" l="1"/>
  <c r="L20" i="1" s="1"/>
  <c r="L21" i="1" s="1"/>
  <c r="H20" i="1"/>
  <c r="K20" i="1" s="1"/>
  <c r="K19" i="1"/>
  <c r="H21" i="1" l="1"/>
  <c r="K21" i="1" s="1"/>
</calcChain>
</file>

<file path=xl/sharedStrings.xml><?xml version="1.0" encoding="utf-8"?>
<sst xmlns="http://schemas.openxmlformats.org/spreadsheetml/2006/main" count="327" uniqueCount="60">
  <si>
    <t xml:space="preserve">Расчет стоимости объектов по укрупненным показателям стоимости строительства линий электропередач 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</si>
  <si>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</si>
  <si>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</si>
  <si>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</si>
  <si>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</si>
  <si>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Цена за ед. объема, в ценах 2001г,  тыс.руб.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</si>
  <si>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</si>
  <si>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</si>
  <si>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</si>
  <si>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Итого по разделу 1</t>
  </si>
  <si>
    <t xml:space="preserve">Итого в ценах 2001 года </t>
  </si>
  <si>
    <t>Примечания:</t>
  </si>
  <si>
    <t>1.</t>
  </si>
  <si>
    <t>2.</t>
  </si>
  <si>
    <t>Коэффициенты, учитывающие лимитированные затраты, условия производства работ, прочие затраты и т.д.:</t>
  </si>
  <si>
    <t>-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</si>
  <si>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</si>
  <si>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</si>
  <si>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табл 2</t>
  </si>
  <si>
    <t>Стоимость в ценах 2001г. с учетом РС(Я) коэффициента К=1,09 *0,9721 ( тыс руб.)</t>
  </si>
  <si>
    <t>Строительно-монтажные работы, тыс руб.</t>
  </si>
  <si>
    <t>Оборудование, приспособления и производственный инвентарь, тыс  руб.</t>
  </si>
  <si>
    <t>Прочие, тыс руб.</t>
  </si>
  <si>
    <t>Всего,тыс руб.</t>
  </si>
  <si>
    <t>Аренда земли</t>
  </si>
  <si>
    <t xml:space="preserve"> Приложение №11  УПС "Холдинг МРСК" и письмо АО "ДРСК" от 29.05.2015 №16-03-15/936 (2 кв.2015)</t>
  </si>
  <si>
    <t>Вырубка просеки</t>
  </si>
  <si>
    <t>Для ВЛ:</t>
  </si>
  <si>
    <t>2,5%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</si>
  <si>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</si>
  <si>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5-8% - прочие работы и затраты;</t>
  </si>
  <si>
    <r>
      <t>К=((2,5+7,5+2,6+5+</t>
    </r>
    <r>
      <rPr>
        <sz val="10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)/100+1)=1,206</t>
    </r>
  </si>
  <si>
    <t>НДС</t>
  </si>
  <si>
    <t>ВСЕГО  с НДС</t>
  </si>
  <si>
    <t>УТВЕРЖДАЮ</t>
  </si>
  <si>
    <t>Директор АО ДРСК ЮЯЭС</t>
  </si>
  <si>
    <t>И.В.Шкурко</t>
  </si>
  <si>
    <t>по п.2.7:</t>
  </si>
  <si>
    <t>табл 2  прим</t>
  </si>
  <si>
    <t>. Строительство ВЛ-6кВ</t>
  </si>
  <si>
    <t>К-1,013 -городские условия (табл 4)</t>
  </si>
  <si>
    <t>табл 3</t>
  </si>
  <si>
    <t xml:space="preserve">        Раздел 1. Строительство ВЛ-6кВ  (СИП-50) на ж/б опорах  количество цепей 2  L-1 км</t>
  </si>
  <si>
    <t>табл 2 прим</t>
  </si>
  <si>
    <t xml:space="preserve">        Раздел 1. Строительство ВЛ-6кВ  (СИП-50) на ж/б опорах  количество цепей 2   L-1 км с вырубкой просеки</t>
  </si>
  <si>
    <t xml:space="preserve">        Раздел 1. Строительство ВЛ-6кВ  (СИП-70) на ж/б опорах  количество цепей 2   L-1 км в городских условиях</t>
  </si>
  <si>
    <t xml:space="preserve">        Раздел 1. Строительство ВЛ-6кВ  (СИП-70) на ж/б опорах  количество цепей 2  L-1 км с вырубкой просеки</t>
  </si>
  <si>
    <t xml:space="preserve">        Раздел 1. Строительство ВЛ-6кВ  (СИП-95) на ж/б опорах  количество цепей 2   L-1 км  в городских условиях</t>
  </si>
  <si>
    <t>в том числе  в составе Прочих ПИР</t>
  </si>
  <si>
    <t xml:space="preserve">        Раздел 1. Строительство ВЛ-6кВ  (СИП-95) на ж/б опорах  количество цепей 2   L-1 км с вырубкой просеки</t>
  </si>
  <si>
    <t>"___"______2017г</t>
  </si>
  <si>
    <r>
      <t>Составил специалист  ОКСиИ</t>
    </r>
    <r>
      <rPr>
        <i/>
        <sz val="10"/>
        <color theme="0" tint="-0.34998626667073579"/>
        <rFont val="Times New Roman"/>
        <family val="1"/>
        <charset val="204"/>
      </rPr>
      <t>___________________________________________</t>
    </r>
  </si>
  <si>
    <t>М.С.Гайнбихнер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</si>
  <si>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</si>
  <si>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</si>
  <si>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</si>
  <si>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</si>
  <si>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</si>
  <si>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г..(перевод в текущие цены 3 кв 2018г СМР-7,53; ОБ-4,53;  ПР-8,93)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</si>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</sst>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color theme="0" tint="-0.3499862666707357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10" fillId="0" borderId="0">
      <alignment horizontal="center"/>
    </xf>
    <xf numFmtId="0" fontId="1" fillId="0" borderId="0"/>
  </cellStyleXfs>
  <cellXfs count="88">
    <xf numFmtId="0" fontId="0" fillId="0" borderId="0" xfId="0"/>
    <xf numFmtId="0" fontId="4" fillId="0" borderId="0" xfId="1" applyFont="1"/>
    <xf numFmtId="0" fontId="4" fillId="0" borderId="0" xfId="2" applyFont="1"/>
    <xf numFmtId="0" fontId="4" fillId="0" borderId="0" xfId="3" applyFont="1"/>
    <xf numFmtId="0" fontId="4" fillId="0" borderId="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3" applyFont="1" applyAlignment="1"/>
    <xf numFmtId="4" fontId="5" fillId="0" borderId="4" xfId="3" applyNumberFormat="1" applyFont="1" applyBorder="1" applyAlignment="1">
      <alignment horizontal="right" vertical="center"/>
    </xf>
    <xf numFmtId="4" fontId="4" fillId="0" borderId="4" xfId="2" applyNumberFormat="1" applyFont="1" applyBorder="1" applyAlignment="1">
      <alignment horizontal="right"/>
    </xf>
    <xf numFmtId="0" fontId="4" fillId="0" borderId="0" xfId="2" applyFont="1" applyAlignment="1"/>
    <xf numFmtId="4" fontId="7" fillId="3" borderId="4" xfId="3" applyNumberFormat="1" applyFont="1" applyFill="1" applyBorder="1" applyAlignment="1">
      <alignment horizontal="right"/>
    </xf>
    <xf numFmtId="4" fontId="7" fillId="3" borderId="0" xfId="3" applyNumberFormat="1" applyFont="1" applyFill="1" applyAlignment="1">
      <alignment horizontal="right"/>
    </xf>
    <xf numFmtId="4" fontId="6" fillId="0" borderId="4" xfId="2" applyNumberFormat="1" applyFont="1" applyBorder="1" applyAlignment="1">
      <alignment horizontal="right" vertical="center"/>
    </xf>
    <xf numFmtId="0" fontId="8" fillId="0" borderId="0" xfId="3" applyFont="1" applyAlignment="1">
      <alignment wrapText="1"/>
    </xf>
    <xf numFmtId="4" fontId="6" fillId="0" borderId="0" xfId="2" applyNumberFormat="1" applyFont="1" applyBorder="1" applyAlignment="1">
      <alignment horizontal="right" vertical="center"/>
    </xf>
    <xf numFmtId="0" fontId="4" fillId="0" borderId="0" xfId="4" applyFont="1"/>
    <xf numFmtId="0" fontId="4" fillId="2" borderId="5" xfId="3" applyFont="1" applyFill="1" applyBorder="1" applyAlignment="1"/>
    <xf numFmtId="4" fontId="4" fillId="2" borderId="5" xfId="3" applyNumberFormat="1" applyFont="1" applyFill="1" applyBorder="1" applyAlignment="1">
      <alignment wrapText="1"/>
    </xf>
    <xf numFmtId="0" fontId="4" fillId="2" borderId="5" xfId="3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center"/>
    </xf>
    <xf numFmtId="4" fontId="4" fillId="2" borderId="5" xfId="3" applyNumberFormat="1" applyFont="1" applyFill="1" applyBorder="1" applyAlignment="1">
      <alignment horizontal="right"/>
    </xf>
    <xf numFmtId="0" fontId="6" fillId="2" borderId="6" xfId="3" applyFont="1" applyFill="1" applyBorder="1" applyAlignment="1"/>
    <xf numFmtId="0" fontId="4" fillId="2" borderId="4" xfId="3" applyFont="1" applyFill="1" applyBorder="1" applyAlignment="1">
      <alignment horizontal="left"/>
    </xf>
    <xf numFmtId="0" fontId="4" fillId="0" borderId="0" xfId="3" applyFont="1" applyAlignment="1">
      <alignment horizontal="right"/>
    </xf>
    <xf numFmtId="0" fontId="6" fillId="0" borderId="0" xfId="4" applyFont="1" applyAlignment="1">
      <alignment horizontal="right"/>
    </xf>
    <xf numFmtId="0" fontId="6" fillId="0" borderId="0" xfId="4" applyFont="1"/>
    <xf numFmtId="0" fontId="4" fillId="0" borderId="0" xfId="4" applyFont="1" applyAlignment="1">
      <alignment horizontal="right"/>
    </xf>
    <xf numFmtId="0" fontId="8" fillId="0" borderId="0" xfId="4" applyFont="1"/>
    <xf numFmtId="49" fontId="4" fillId="0" borderId="0" xfId="4" applyNumberFormat="1" applyFont="1" applyAlignment="1">
      <alignment horizontal="right" vertical="center"/>
    </xf>
    <xf numFmtId="0" fontId="4" fillId="2" borderId="4" xfId="3" applyFont="1" applyFill="1" applyBorder="1" applyAlignment="1">
      <alignment horizontal="right"/>
    </xf>
    <xf numFmtId="0" fontId="10" fillId="0" borderId="4" xfId="5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4" fontId="4" fillId="0" borderId="4" xfId="3" applyNumberFormat="1" applyFont="1" applyBorder="1" applyAlignment="1">
      <alignment horizontal="right"/>
    </xf>
    <xf numFmtId="0" fontId="4" fillId="2" borderId="5" xfId="3" applyFont="1" applyFill="1" applyBorder="1" applyAlignment="1">
      <alignment horizontal="right"/>
    </xf>
    <xf numFmtId="0" fontId="4" fillId="2" borderId="5" xfId="3" applyFont="1" applyFill="1" applyBorder="1" applyAlignment="1">
      <alignment horizontal="left"/>
    </xf>
    <xf numFmtId="0" fontId="10" fillId="0" borderId="5" xfId="5" applyFont="1" applyBorder="1" applyAlignment="1">
      <alignment horizontal="center" vertical="center" wrapText="1"/>
    </xf>
    <xf numFmtId="2" fontId="10" fillId="0" borderId="5" xfId="5" applyNumberFormat="1" applyFont="1" applyBorder="1" applyAlignment="1">
      <alignment horizontal="center" vertical="center" wrapText="1"/>
    </xf>
    <xf numFmtId="164" fontId="4" fillId="2" borderId="5" xfId="3" applyNumberFormat="1" applyFont="1" applyFill="1" applyBorder="1" applyAlignment="1">
      <alignment horizontal="center"/>
    </xf>
    <xf numFmtId="0" fontId="4" fillId="0" borderId="4" xfId="2" applyFont="1" applyBorder="1" applyAlignment="1">
      <alignment horizontal="left" vertical="center" wrapText="1"/>
    </xf>
    <xf numFmtId="4" fontId="4" fillId="0" borderId="4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 vertical="center" wrapText="1"/>
    </xf>
    <xf numFmtId="0" fontId="4" fillId="0" borderId="0" xfId="6" applyFont="1"/>
    <xf numFmtId="0" fontId="6" fillId="0" borderId="0" xfId="6" applyFont="1"/>
    <xf numFmtId="0" fontId="4" fillId="0" borderId="0" xfId="6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4" fillId="0" borderId="0" xfId="0" applyFont="1"/>
    <xf numFmtId="0" fontId="10" fillId="0" borderId="0" xfId="0" applyFont="1"/>
    <xf numFmtId="0" fontId="4" fillId="0" borderId="4" xfId="3" applyFont="1" applyBorder="1" applyAlignment="1">
      <alignment horizontal="center" vertical="center" wrapText="1"/>
    </xf>
    <xf numFmtId="4" fontId="4" fillId="0" borderId="4" xfId="3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/>
    </xf>
    <xf numFmtId="4" fontId="4" fillId="2" borderId="4" xfId="3" applyNumberFormat="1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left" vertical="center"/>
    </xf>
    <xf numFmtId="4" fontId="4" fillId="2" borderId="4" xfId="3" applyNumberFormat="1" applyFont="1" applyFill="1" applyBorder="1" applyAlignment="1">
      <alignment horizontal="right" vertical="center"/>
    </xf>
    <xf numFmtId="4" fontId="4" fillId="0" borderId="4" xfId="3" applyNumberFormat="1" applyFont="1" applyBorder="1" applyAlignment="1">
      <alignment horizontal="right" vertical="center"/>
    </xf>
    <xf numFmtId="0" fontId="4" fillId="0" borderId="4" xfId="2" applyFont="1" applyBorder="1" applyAlignment="1">
      <alignment horizontal="left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0" xfId="6" applyFont="1"/>
    <xf numFmtId="0" fontId="4" fillId="2" borderId="5" xfId="3" applyFont="1" applyFill="1" applyBorder="1" applyAlignment="1">
      <alignment horizontal="center" vertical="center"/>
    </xf>
    <xf numFmtId="165" fontId="6" fillId="0" borderId="4" xfId="2" applyNumberFormat="1" applyFont="1" applyBorder="1" applyAlignment="1">
      <alignment horizontal="right" vertical="center"/>
    </xf>
    <xf numFmtId="0" fontId="4" fillId="0" borderId="4" xfId="2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left" vertical="center" wrapText="1"/>
    </xf>
    <xf numFmtId="0" fontId="11" fillId="0" borderId="0" xfId="6" applyFont="1" applyAlignment="1">
      <alignment vertical="top" wrapText="1"/>
    </xf>
    <xf numFmtId="0" fontId="5" fillId="0" borderId="2" xfId="3" applyFont="1" applyBorder="1" applyAlignment="1">
      <alignment horizontal="left" vertical="center" wrapText="1"/>
    </xf>
    <xf numFmtId="0" fontId="5" fillId="0" borderId="3" xfId="3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4" xfId="2" applyFont="1" applyBorder="1" applyAlignment="1">
      <alignment horizontal="left" wrapText="1"/>
    </xf>
    <xf numFmtId="4" fontId="6" fillId="3" borderId="2" xfId="3" applyNumberFormat="1" applyFont="1" applyFill="1" applyBorder="1" applyAlignment="1">
      <alignment horizontal="right" wrapText="1"/>
    </xf>
    <xf numFmtId="4" fontId="6" fillId="3" borderId="3" xfId="3" applyNumberFormat="1" applyFont="1" applyFill="1" applyBorder="1" applyAlignment="1">
      <alignment horizontal="right" wrapText="1"/>
    </xf>
    <xf numFmtId="4" fontId="6" fillId="3" borderId="6" xfId="3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2" borderId="2" xfId="3" applyFont="1" applyFill="1" applyBorder="1" applyAlignment="1">
      <alignment horizontal="left"/>
    </xf>
    <xf numFmtId="0" fontId="6" fillId="2" borderId="3" xfId="3" applyFont="1" applyFill="1" applyBorder="1" applyAlignment="1">
      <alignment horizontal="left"/>
    </xf>
    <xf numFmtId="0" fontId="6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1" fillId="0" borderId="0" xfId="2" applyFont="1" applyAlignment="1">
      <alignment horizontal="left"/>
    </xf>
    <xf numFmtId="0" fontId="11" fillId="0" borderId="0" xfId="3" applyFont="1" applyAlignment="1">
      <alignment horizontal="left"/>
    </xf>
  </cellXfs>
  <cellStyles count="7">
    <cellStyle name="Обычный" xfId="0" builtinId="0"/>
    <cellStyle name="Обычный 2 2" xfId="4"/>
    <cellStyle name="Обычный 3" xfId="6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workbookViewId="0">
      <selection activeCell="K19" sqref="K19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84" customHeight="1" x14ac:dyDescent="0.2">
      <c r="A11" s="64"/>
      <c r="B11" s="64"/>
      <c r="C11" s="64"/>
      <c r="D11" s="78"/>
      <c r="E11" s="64"/>
      <c r="F11" s="77"/>
      <c r="G11" s="78"/>
      <c r="H11" s="4" t="s">
        <v>20</v>
      </c>
      <c r="I11" s="4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42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49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39</v>
      </c>
      <c r="C14" s="18" t="s">
        <v>43</v>
      </c>
      <c r="D14" s="19">
        <f>(385.1-110.3*6+87.8*6)</f>
        <v>250.10000000000002</v>
      </c>
      <c r="E14" s="18">
        <v>1</v>
      </c>
      <c r="F14" s="37">
        <f>ROUND((( 2.5+7.5+2.6+5+3)/100+1),3)*1.013</f>
        <v>1.2216779999999998</v>
      </c>
      <c r="G14" s="19">
        <f>ROUND((D14*E14*F14),2)</f>
        <v>305.54000000000002</v>
      </c>
      <c r="H14" s="20">
        <f>ROUND((0.8*G14*1.09*0.9721),2)</f>
        <v>259</v>
      </c>
      <c r="I14" s="20">
        <f>G14*0.04*1.09*0.9721</f>
        <v>12.949872922400001</v>
      </c>
      <c r="J14" s="20">
        <f>ROUND((0.16*G14*1.09*0.9721),2)</f>
        <v>51.8</v>
      </c>
      <c r="K14" s="32">
        <f>SUM(H14:J14)</f>
        <v>323.74987292240002</v>
      </c>
      <c r="L14" s="51">
        <f>K14*0.07</f>
        <v>22.662491104568002</v>
      </c>
      <c r="N14" s="45"/>
      <c r="O14" s="46"/>
    </row>
    <row r="15" spans="1:15" s="3" customFormat="1" ht="13.5" x14ac:dyDescent="0.2">
      <c r="A15" s="69" t="s">
        <v>9</v>
      </c>
      <c r="B15" s="70"/>
      <c r="C15" s="70"/>
      <c r="D15" s="70"/>
      <c r="E15" s="70"/>
      <c r="F15" s="70"/>
      <c r="G15" s="71"/>
      <c r="H15" s="7">
        <f>SUM(H13:H14)</f>
        <v>259</v>
      </c>
      <c r="I15" s="7">
        <f>SUM(I13:I14)</f>
        <v>12.949872922400001</v>
      </c>
      <c r="J15" s="7">
        <f>SUM(J13:J14)</f>
        <v>53.424689999999998</v>
      </c>
      <c r="K15" s="7">
        <f>SUM(H15:J15)</f>
        <v>325.3745629224</v>
      </c>
      <c r="L15" s="7">
        <f>SUM(L13:L14)</f>
        <v>22.662491104568002</v>
      </c>
      <c r="N15" s="45"/>
      <c r="O15" s="46"/>
    </row>
    <row r="16" spans="1:15" s="9" customFormat="1" ht="13.5" customHeight="1" x14ac:dyDescent="0.2">
      <c r="A16" s="72" t="s">
        <v>10</v>
      </c>
      <c r="B16" s="72"/>
      <c r="C16" s="72"/>
      <c r="D16" s="72"/>
      <c r="E16" s="72"/>
      <c r="F16" s="72"/>
      <c r="G16" s="72"/>
      <c r="H16" s="8">
        <f>H15</f>
        <v>259</v>
      </c>
      <c r="I16" s="8">
        <f t="shared" ref="I16:J16" si="0">I15</f>
        <v>12.949872922400001</v>
      </c>
      <c r="J16" s="8">
        <f t="shared" si="0"/>
        <v>53.424689999999998</v>
      </c>
      <c r="K16" s="8">
        <f>K15</f>
        <v>325.3745629224</v>
      </c>
      <c r="L16" s="8">
        <f t="shared" ref="L16" si="1">L15</f>
        <v>22.662491104568002</v>
      </c>
    </row>
    <row r="17" spans="1:12" s="9" customFormat="1" ht="13.5" customHeight="1" x14ac:dyDescent="0.2">
      <c r="A17" s="73" t="s">
        <v>56</v>
      </c>
      <c r="B17" s="74"/>
      <c r="C17" s="74"/>
      <c r="D17" s="74"/>
      <c r="E17" s="74"/>
      <c r="F17" s="74"/>
      <c r="G17" s="75"/>
      <c r="H17" s="10">
        <f>H16*7.53</f>
        <v>1950.27</v>
      </c>
      <c r="I17" s="10">
        <f>I16*4.53</f>
        <v>58.66292433847201</v>
      </c>
      <c r="J17" s="10">
        <f>J16*8.93</f>
        <v>477.08248169999996</v>
      </c>
      <c r="K17" s="11">
        <f>SUM(H17:J17)</f>
        <v>2486.0154060384721</v>
      </c>
      <c r="L17" s="10">
        <f>L16*3.83</f>
        <v>86.797340930495452</v>
      </c>
    </row>
    <row r="18" spans="1:12" s="9" customFormat="1" ht="13.5" customHeight="1" x14ac:dyDescent="0.2">
      <c r="A18" s="62" t="s">
        <v>57</v>
      </c>
      <c r="B18" s="62"/>
      <c r="C18" s="62"/>
      <c r="D18" s="62"/>
      <c r="E18" s="62"/>
      <c r="F18" s="62"/>
      <c r="G18" s="62"/>
      <c r="H18" s="12">
        <f>H17*1.0115</f>
        <v>1972.6981050000002</v>
      </c>
      <c r="I18" s="12">
        <f t="shared" ref="I18" si="2">I17*1.0115</f>
        <v>59.33754796836444</v>
      </c>
      <c r="J18" s="12">
        <f>J17*1.0115</f>
        <v>482.56893023955001</v>
      </c>
      <c r="K18" s="61">
        <f>SUM(H18:J18)</f>
        <v>2514.6045832079144</v>
      </c>
      <c r="L18" s="12">
        <f>L17*1.0115</f>
        <v>87.795510351196157</v>
      </c>
    </row>
    <row r="19" spans="1:12" s="9" customFormat="1" ht="13.5" customHeight="1" x14ac:dyDescent="0.2">
      <c r="A19" s="62" t="s">
        <v>54</v>
      </c>
      <c r="B19" s="62"/>
      <c r="C19" s="62"/>
      <c r="D19" s="62"/>
      <c r="E19" s="62"/>
      <c r="F19" s="62"/>
      <c r="G19" s="62"/>
      <c r="H19" s="12">
        <f>H18*1.044</f>
        <v>2059.4968216200004</v>
      </c>
      <c r="I19" s="12">
        <f t="shared" ref="I19:J19" si="3">I18*1.044</f>
        <v>61.948400078972476</v>
      </c>
      <c r="J19" s="12">
        <f t="shared" si="3"/>
        <v>503.80196317009023</v>
      </c>
      <c r="K19" s="61">
        <f>SUM(H19:J19)</f>
        <v>2625.2471848690634</v>
      </c>
      <c r="L19" s="12">
        <f>L18*1.044</f>
        <v>91.658512806648787</v>
      </c>
    </row>
    <row r="20" spans="1:12" s="9" customFormat="1" ht="13.5" hidden="1" customHeight="1" x14ac:dyDescent="0.2">
      <c r="A20" s="38"/>
      <c r="B20" s="65" t="s">
        <v>32</v>
      </c>
      <c r="C20" s="66"/>
      <c r="D20" s="66"/>
      <c r="E20" s="66"/>
      <c r="F20" s="66"/>
      <c r="G20" s="67"/>
      <c r="H20" s="39">
        <f>H19*0.18</f>
        <v>370.70942789160006</v>
      </c>
      <c r="I20" s="39">
        <f t="shared" ref="I20:J20" si="4">I19*0.18</f>
        <v>11.150712014215046</v>
      </c>
      <c r="J20" s="39">
        <f t="shared" si="4"/>
        <v>90.684353370616236</v>
      </c>
      <c r="K20" s="39">
        <f>SUM(H20:J20)</f>
        <v>472.54449327643135</v>
      </c>
      <c r="L20" s="39">
        <f t="shared" ref="L20" si="5">L19*0.18</f>
        <v>16.498532305196782</v>
      </c>
    </row>
    <row r="21" spans="1:12" s="9" customFormat="1" ht="13.5" hidden="1" customHeight="1" x14ac:dyDescent="0.2">
      <c r="A21" s="38"/>
      <c r="B21" s="65" t="s">
        <v>33</v>
      </c>
      <c r="C21" s="66"/>
      <c r="D21" s="66"/>
      <c r="E21" s="66"/>
      <c r="F21" s="66"/>
      <c r="G21" s="67"/>
      <c r="H21" s="12">
        <f>H19+H20</f>
        <v>2430.2062495116006</v>
      </c>
      <c r="I21" s="12">
        <f t="shared" ref="I21:J21" si="6">I19+I20</f>
        <v>73.099112093187529</v>
      </c>
      <c r="J21" s="12">
        <f t="shared" si="6"/>
        <v>594.48631654070641</v>
      </c>
      <c r="K21" s="12">
        <f>SUM(H21:J21)</f>
        <v>3097.7916781454946</v>
      </c>
      <c r="L21" s="12">
        <f t="shared" ref="L21" si="7">L19+L20</f>
        <v>108.15704511184558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40</v>
      </c>
    </row>
    <row r="25" spans="1:12" s="41" customFormat="1" ht="38.25" customHeight="1" x14ac:dyDescent="0.2">
      <c r="A25" s="43" t="s">
        <v>12</v>
      </c>
      <c r="B25" s="68" t="s">
        <v>58</v>
      </c>
      <c r="C25" s="68"/>
      <c r="D25" s="68"/>
      <c r="E25" s="68"/>
      <c r="F25" s="68"/>
      <c r="G25" s="68"/>
      <c r="H25" s="68"/>
      <c r="I25" s="68"/>
      <c r="J25" s="68"/>
      <c r="K25" s="68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51</v>
      </c>
      <c r="C35" s="47"/>
      <c r="D35" s="47"/>
      <c r="E35" s="48"/>
      <c r="F35" s="47"/>
      <c r="G35" s="47"/>
      <c r="H35" s="48"/>
      <c r="I35" s="47" t="s">
        <v>52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C10:C11"/>
    <mergeCell ref="D10:D11"/>
    <mergeCell ref="E10:E11"/>
    <mergeCell ref="A5:K5"/>
    <mergeCell ref="A6:K6"/>
    <mergeCell ref="A7:K7"/>
    <mergeCell ref="A8:K8"/>
    <mergeCell ref="A9:K9"/>
    <mergeCell ref="A18:G18"/>
    <mergeCell ref="L10:L11"/>
    <mergeCell ref="B20:G20"/>
    <mergeCell ref="B21:G21"/>
    <mergeCell ref="B25:K25"/>
    <mergeCell ref="A19:G19"/>
    <mergeCell ref="A15:G15"/>
    <mergeCell ref="A16:G16"/>
    <mergeCell ref="A17:G17"/>
    <mergeCell ref="F10:F11"/>
    <mergeCell ref="G10:G11"/>
    <mergeCell ref="H10:J10"/>
    <mergeCell ref="K10:K11"/>
    <mergeCell ref="A12:J12"/>
    <mergeCell ref="A10:A11"/>
    <mergeCell ref="B10:B11"/>
  </mergeCells>
  <pageMargins left="0.78740157480314965" right="0" top="0.39370078740157483" bottom="0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workbookViewId="0">
      <selection activeCell="L18" sqref="L18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84" customHeight="1" x14ac:dyDescent="0.2">
      <c r="A11" s="64"/>
      <c r="B11" s="64"/>
      <c r="C11" s="64"/>
      <c r="D11" s="78"/>
      <c r="E11" s="64"/>
      <c r="F11" s="77"/>
      <c r="G11" s="78"/>
      <c r="H11" s="58" t="s">
        <v>20</v>
      </c>
      <c r="I11" s="58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44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58"/>
    </row>
    <row r="13" spans="1:15" s="3" customFormat="1" ht="91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41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39</v>
      </c>
      <c r="C15" s="18" t="s">
        <v>18</v>
      </c>
      <c r="D15" s="19">
        <f>(385.1-110.3*6+87.8*6)</f>
        <v>250.10000000000002</v>
      </c>
      <c r="E15" s="18">
        <v>1</v>
      </c>
      <c r="F15" s="37">
        <f>ROUND((( 2.5+7.5+2.6+5+3)/100+1),3)</f>
        <v>1.206</v>
      </c>
      <c r="G15" s="19">
        <f>ROUND((D15*E15*F15),2)</f>
        <v>301.62</v>
      </c>
      <c r="H15" s="20">
        <f>ROUND((0.8*G15*1.09*0.9721),2)</f>
        <v>255.67</v>
      </c>
      <c r="I15" s="20">
        <f>G15*0.04*1.09*0.9721</f>
        <v>12.783729367200001</v>
      </c>
      <c r="J15" s="20">
        <f>ROUND((0.16*G15*1.09*0.9721),2)</f>
        <v>51.13</v>
      </c>
      <c r="K15" s="32">
        <f>SUM(H15:J15)</f>
        <v>319.58372936719996</v>
      </c>
      <c r="L15" s="51">
        <f>K15*0.07</f>
        <v>22.370861055704001</v>
      </c>
      <c r="N15" s="45"/>
      <c r="O15" s="46"/>
    </row>
    <row r="16" spans="1:15" s="3" customFormat="1" ht="13.5" x14ac:dyDescent="0.2">
      <c r="A16" s="69" t="s">
        <v>9</v>
      </c>
      <c r="B16" s="70"/>
      <c r="C16" s="70"/>
      <c r="D16" s="70"/>
      <c r="E16" s="70"/>
      <c r="F16" s="70"/>
      <c r="G16" s="71"/>
      <c r="H16" s="7">
        <f>SUM(H13:H15)</f>
        <v>328.65999999999997</v>
      </c>
      <c r="I16" s="7">
        <f>SUM(I13:I15)</f>
        <v>12.783729367200001</v>
      </c>
      <c r="J16" s="7">
        <f>SUM(J13:J15)</f>
        <v>66.654690000000002</v>
      </c>
      <c r="K16" s="7">
        <f>SUM(H16:J16)</f>
        <v>408.09841936719999</v>
      </c>
      <c r="L16" s="7">
        <f>SUM(L13:L15)</f>
        <v>28.453161055704001</v>
      </c>
      <c r="N16" s="45"/>
      <c r="O16" s="46"/>
    </row>
    <row r="17" spans="1:12" s="9" customFormat="1" ht="13.5" customHeight="1" x14ac:dyDescent="0.2">
      <c r="A17" s="72" t="s">
        <v>10</v>
      </c>
      <c r="B17" s="72"/>
      <c r="C17" s="72"/>
      <c r="D17" s="72"/>
      <c r="E17" s="72"/>
      <c r="F17" s="72"/>
      <c r="G17" s="72"/>
      <c r="H17" s="8">
        <f>H16</f>
        <v>328.65999999999997</v>
      </c>
      <c r="I17" s="8">
        <f t="shared" ref="I17:J17" si="0">I16</f>
        <v>12.783729367200001</v>
      </c>
      <c r="J17" s="8">
        <f t="shared" si="0"/>
        <v>66.654690000000002</v>
      </c>
      <c r="K17" s="8">
        <f>K16</f>
        <v>408.09841936719999</v>
      </c>
      <c r="L17" s="8">
        <f t="shared" ref="L17" si="1">L16</f>
        <v>28.453161055704001</v>
      </c>
    </row>
    <row r="18" spans="1:12" s="9" customFormat="1" ht="13.5" customHeight="1" x14ac:dyDescent="0.2">
      <c r="A18" s="73" t="s">
        <v>56</v>
      </c>
      <c r="B18" s="74"/>
      <c r="C18" s="74"/>
      <c r="D18" s="74"/>
      <c r="E18" s="74"/>
      <c r="F18" s="74"/>
      <c r="G18" s="75"/>
      <c r="H18" s="10">
        <f>H17*7.53</f>
        <v>2474.8098</v>
      </c>
      <c r="I18" s="10">
        <f>I17*4.53</f>
        <v>57.910294033416008</v>
      </c>
      <c r="J18" s="10">
        <f>J17*8.93</f>
        <v>595.22638170000005</v>
      </c>
      <c r="K18" s="11">
        <f>SUM(H18:J18)</f>
        <v>3127.9464757334163</v>
      </c>
      <c r="L18" s="10">
        <f>L17*3.83</f>
        <v>108.97560684334633</v>
      </c>
    </row>
    <row r="19" spans="1:12" s="9" customFormat="1" ht="13.5" customHeight="1" x14ac:dyDescent="0.2">
      <c r="A19" s="62" t="s">
        <v>57</v>
      </c>
      <c r="B19" s="62"/>
      <c r="C19" s="62"/>
      <c r="D19" s="62"/>
      <c r="E19" s="62"/>
      <c r="F19" s="62"/>
      <c r="G19" s="62"/>
      <c r="H19" s="12">
        <f>H18*1.0115</f>
        <v>2503.2701127</v>
      </c>
      <c r="I19" s="12">
        <f t="shared" ref="I19:J19" si="2">I18*1.0115</f>
        <v>58.576262414800297</v>
      </c>
      <c r="J19" s="12">
        <f t="shared" si="2"/>
        <v>602.07148508955004</v>
      </c>
      <c r="K19" s="61">
        <f>SUM(H19:J19)</f>
        <v>3163.9178602043503</v>
      </c>
      <c r="L19" s="12">
        <f>L18*1.0115</f>
        <v>110.22882632204481</v>
      </c>
    </row>
    <row r="20" spans="1:12" s="9" customFormat="1" ht="13.5" customHeight="1" x14ac:dyDescent="0.2">
      <c r="A20" s="62" t="s">
        <v>54</v>
      </c>
      <c r="B20" s="62"/>
      <c r="C20" s="62"/>
      <c r="D20" s="62"/>
      <c r="E20" s="62"/>
      <c r="F20" s="62"/>
      <c r="G20" s="62"/>
      <c r="H20" s="12">
        <f>H19*1.044</f>
        <v>2613.4139976588003</v>
      </c>
      <c r="I20" s="12">
        <f t="shared" ref="I20:J20" si="3">I19*1.044</f>
        <v>61.153617961051509</v>
      </c>
      <c r="J20" s="12">
        <f t="shared" si="3"/>
        <v>628.56263043349031</v>
      </c>
      <c r="K20" s="61">
        <f>SUM(H20:J20)</f>
        <v>3303.1302460533425</v>
      </c>
      <c r="L20" s="12">
        <f>L19*1.044</f>
        <v>115.07889468021479</v>
      </c>
    </row>
    <row r="21" spans="1:12" s="9" customFormat="1" ht="13.5" hidden="1" customHeight="1" x14ac:dyDescent="0.2">
      <c r="A21" s="57"/>
      <c r="B21" s="65" t="s">
        <v>32</v>
      </c>
      <c r="C21" s="66"/>
      <c r="D21" s="66"/>
      <c r="E21" s="66"/>
      <c r="F21" s="66"/>
      <c r="G21" s="67"/>
      <c r="H21" s="39">
        <f>H20*0.18</f>
        <v>470.41451957858402</v>
      </c>
      <c r="I21" s="39">
        <f t="shared" ref="I21:J21" si="4">I20*0.18</f>
        <v>11.007651232989272</v>
      </c>
      <c r="J21" s="39">
        <f t="shared" si="4"/>
        <v>113.14127347802825</v>
      </c>
      <c r="K21" s="39">
        <f>SUM(H21:J21)</f>
        <v>594.56344428960153</v>
      </c>
      <c r="L21" s="39">
        <f t="shared" ref="L21" si="5">L20*0.18</f>
        <v>20.71420104243866</v>
      </c>
    </row>
    <row r="22" spans="1:12" s="9" customFormat="1" ht="13.5" hidden="1" customHeight="1" x14ac:dyDescent="0.2">
      <c r="A22" s="57"/>
      <c r="B22" s="65" t="s">
        <v>33</v>
      </c>
      <c r="C22" s="66"/>
      <c r="D22" s="66"/>
      <c r="E22" s="66"/>
      <c r="F22" s="66"/>
      <c r="G22" s="67"/>
      <c r="H22" s="12">
        <f>H20+H21</f>
        <v>3083.8285172373844</v>
      </c>
      <c r="I22" s="12">
        <f t="shared" ref="I22:J22" si="6">I20+I21</f>
        <v>72.161269194040784</v>
      </c>
      <c r="J22" s="12">
        <f t="shared" si="6"/>
        <v>741.70390391151852</v>
      </c>
      <c r="K22" s="12">
        <f>SUM(H22:J22)</f>
        <v>3897.6936903429437</v>
      </c>
      <c r="L22" s="12">
        <f t="shared" ref="L22" si="7">L20+L21</f>
        <v>135.79309572265345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68" t="s">
        <v>58</v>
      </c>
      <c r="C26" s="68"/>
      <c r="D26" s="68"/>
      <c r="E26" s="68"/>
      <c r="F26" s="68"/>
      <c r="G26" s="68"/>
      <c r="H26" s="68"/>
      <c r="I26" s="68"/>
      <c r="J26" s="68"/>
      <c r="K26" s="68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51</v>
      </c>
      <c r="C36" s="47"/>
      <c r="D36" s="47"/>
      <c r="E36" s="48"/>
      <c r="F36" s="47"/>
      <c r="G36" s="47"/>
      <c r="H36" s="48"/>
      <c r="I36" s="47" t="s">
        <v>52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A5:K5"/>
    <mergeCell ref="A6:K6"/>
    <mergeCell ref="A7:K7"/>
    <mergeCell ref="A8:K8"/>
    <mergeCell ref="A9:K9"/>
    <mergeCell ref="B22:G22"/>
    <mergeCell ref="A16:G16"/>
    <mergeCell ref="B21:G21"/>
    <mergeCell ref="K10:K11"/>
    <mergeCell ref="B26:K26"/>
    <mergeCell ref="A17:G17"/>
    <mergeCell ref="A10:A11"/>
    <mergeCell ref="B10:B11"/>
    <mergeCell ref="C10:C11"/>
    <mergeCell ref="D10:D11"/>
    <mergeCell ref="E10:E11"/>
    <mergeCell ref="F10:F11"/>
    <mergeCell ref="G10:G11"/>
    <mergeCell ref="L10:L11"/>
    <mergeCell ref="H10:J10"/>
    <mergeCell ref="A12:J12"/>
    <mergeCell ref="A18:G18"/>
    <mergeCell ref="A20:G20"/>
    <mergeCell ref="A19:G19"/>
  </mergeCells>
  <pageMargins left="0.70866141732283472" right="0" top="0.39370078740157483" bottom="0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opLeftCell="A4" workbookViewId="0">
      <selection activeCell="L17" sqref="L17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84" customHeight="1" x14ac:dyDescent="0.2">
      <c r="A11" s="64"/>
      <c r="B11" s="64"/>
      <c r="C11" s="64"/>
      <c r="D11" s="78"/>
      <c r="E11" s="64"/>
      <c r="F11" s="77"/>
      <c r="G11" s="78"/>
      <c r="H11" s="58" t="s">
        <v>20</v>
      </c>
      <c r="I11" s="58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45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58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39</v>
      </c>
      <c r="C14" s="18" t="s">
        <v>18</v>
      </c>
      <c r="D14" s="19">
        <f>385.1</f>
        <v>385.1</v>
      </c>
      <c r="E14" s="18">
        <v>1</v>
      </c>
      <c r="F14" s="37">
        <f>ROUND((( 2.5+7.5+2.6+5+3)/100+1),3)*1.013</f>
        <v>1.2216779999999998</v>
      </c>
      <c r="G14" s="19">
        <f>ROUND((D14*E14*F14),2)</f>
        <v>470.47</v>
      </c>
      <c r="H14" s="20">
        <f>ROUND((0.8*G14*1.09*0.9721),2)</f>
        <v>398.8</v>
      </c>
      <c r="I14" s="20">
        <f>G14*0.04*1.09*0.9721</f>
        <v>19.940193473200004</v>
      </c>
      <c r="J14" s="20">
        <f>ROUND((0.16*G14*1.09*0.9721),2)</f>
        <v>79.760000000000005</v>
      </c>
      <c r="K14" s="32">
        <f>SUM(H14:J14)</f>
        <v>498.5001934732</v>
      </c>
      <c r="L14" s="51">
        <f>K14*0.07</f>
        <v>34.895013543124001</v>
      </c>
      <c r="N14" s="45"/>
      <c r="O14" s="46"/>
    </row>
    <row r="15" spans="1:15" s="3" customFormat="1" ht="13.5" x14ac:dyDescent="0.2">
      <c r="A15" s="69" t="s">
        <v>9</v>
      </c>
      <c r="B15" s="70"/>
      <c r="C15" s="70"/>
      <c r="D15" s="70"/>
      <c r="E15" s="70"/>
      <c r="F15" s="70"/>
      <c r="G15" s="71"/>
      <c r="H15" s="7">
        <f>SUM(H13:H14)</f>
        <v>398.8</v>
      </c>
      <c r="I15" s="7">
        <f>SUM(I13:I14)</f>
        <v>19.940193473200004</v>
      </c>
      <c r="J15" s="7">
        <f>SUM(J13:J14)</f>
        <v>81.384690000000006</v>
      </c>
      <c r="K15" s="7">
        <f>SUM(H15:J15)</f>
        <v>500.12488347320004</v>
      </c>
      <c r="L15" s="7">
        <f>SUM(L13:L14)</f>
        <v>34.895013543124001</v>
      </c>
      <c r="N15" s="45"/>
      <c r="O15" s="46"/>
    </row>
    <row r="16" spans="1:15" s="9" customFormat="1" ht="13.5" customHeight="1" x14ac:dyDescent="0.2">
      <c r="A16" s="72" t="s">
        <v>10</v>
      </c>
      <c r="B16" s="72"/>
      <c r="C16" s="72"/>
      <c r="D16" s="72"/>
      <c r="E16" s="72"/>
      <c r="F16" s="72"/>
      <c r="G16" s="72"/>
      <c r="H16" s="8">
        <f>H15</f>
        <v>398.8</v>
      </c>
      <c r="I16" s="8">
        <f t="shared" ref="I16:J16" si="0">I15</f>
        <v>19.940193473200004</v>
      </c>
      <c r="J16" s="8">
        <f t="shared" si="0"/>
        <v>81.384690000000006</v>
      </c>
      <c r="K16" s="8">
        <f>K15</f>
        <v>500.12488347320004</v>
      </c>
      <c r="L16" s="8">
        <f t="shared" ref="L16" si="1">L15</f>
        <v>34.895013543124001</v>
      </c>
    </row>
    <row r="17" spans="1:12" s="9" customFormat="1" ht="13.5" customHeight="1" x14ac:dyDescent="0.2">
      <c r="A17" s="73" t="s">
        <v>56</v>
      </c>
      <c r="B17" s="74"/>
      <c r="C17" s="74"/>
      <c r="D17" s="74"/>
      <c r="E17" s="74"/>
      <c r="F17" s="74"/>
      <c r="G17" s="75"/>
      <c r="H17" s="10">
        <f>H16*7.53</f>
        <v>3002.9640000000004</v>
      </c>
      <c r="I17" s="10">
        <f>I16*4.53</f>
        <v>90.329076433596029</v>
      </c>
      <c r="J17" s="10">
        <f>J16*8.93</f>
        <v>726.76528170000006</v>
      </c>
      <c r="K17" s="11">
        <f>SUM(H17:J17)</f>
        <v>3820.0583581335968</v>
      </c>
      <c r="L17" s="10">
        <f>L16*3.83</f>
        <v>133.64790187016493</v>
      </c>
    </row>
    <row r="18" spans="1:12" s="9" customFormat="1" ht="13.5" customHeight="1" x14ac:dyDescent="0.2">
      <c r="A18" s="62" t="s">
        <v>57</v>
      </c>
      <c r="B18" s="62"/>
      <c r="C18" s="62"/>
      <c r="D18" s="62"/>
      <c r="E18" s="62"/>
      <c r="F18" s="62"/>
      <c r="G18" s="62"/>
      <c r="H18" s="12">
        <f>H17*1.0115</f>
        <v>3037.4980860000005</v>
      </c>
      <c r="I18" s="12">
        <f t="shared" ref="I18:J18" si="2">I17*1.0115</f>
        <v>91.367860812582393</v>
      </c>
      <c r="J18" s="12">
        <f t="shared" si="2"/>
        <v>735.1230824395501</v>
      </c>
      <c r="K18" s="61">
        <f>SUM(H18:J18)</f>
        <v>3863.9890292521332</v>
      </c>
      <c r="L18" s="12">
        <f>L17*1.0115</f>
        <v>135.18485274167185</v>
      </c>
    </row>
    <row r="19" spans="1:12" s="9" customFormat="1" ht="13.5" customHeight="1" x14ac:dyDescent="0.2">
      <c r="A19" s="62" t="s">
        <v>54</v>
      </c>
      <c r="B19" s="62"/>
      <c r="C19" s="62"/>
      <c r="D19" s="62"/>
      <c r="E19" s="62"/>
      <c r="F19" s="62"/>
      <c r="G19" s="62"/>
      <c r="H19" s="12">
        <f>H18*1.044</f>
        <v>3171.1480017840008</v>
      </c>
      <c r="I19" s="12">
        <f t="shared" ref="I19:J19" si="3">I18*1.044</f>
        <v>95.388046688336019</v>
      </c>
      <c r="J19" s="12">
        <f t="shared" si="3"/>
        <v>767.46849806689033</v>
      </c>
      <c r="K19" s="61">
        <f>SUM(H19:J19)</f>
        <v>4034.0045465392272</v>
      </c>
      <c r="L19" s="12">
        <f>L18*1.044</f>
        <v>141.13298626230542</v>
      </c>
    </row>
    <row r="20" spans="1:12" s="9" customFormat="1" ht="13.5" hidden="1" customHeight="1" x14ac:dyDescent="0.2">
      <c r="A20" s="57"/>
      <c r="B20" s="65" t="s">
        <v>32</v>
      </c>
      <c r="C20" s="66"/>
      <c r="D20" s="66"/>
      <c r="E20" s="66"/>
      <c r="F20" s="66"/>
      <c r="G20" s="67"/>
      <c r="H20" s="39">
        <f>H19*0.18</f>
        <v>570.80664032112008</v>
      </c>
      <c r="I20" s="39">
        <f t="shared" ref="I20:J20" si="4">I19*0.18</f>
        <v>17.169848403900481</v>
      </c>
      <c r="J20" s="39">
        <f t="shared" si="4"/>
        <v>138.14432965204026</v>
      </c>
      <c r="K20" s="39">
        <f>SUM(H20:J20)</f>
        <v>726.1208183770608</v>
      </c>
      <c r="L20" s="39">
        <f t="shared" ref="L20" si="5">L19*0.18</f>
        <v>25.403937527214975</v>
      </c>
    </row>
    <row r="21" spans="1:12" s="9" customFormat="1" ht="13.5" hidden="1" customHeight="1" x14ac:dyDescent="0.2">
      <c r="A21" s="57"/>
      <c r="B21" s="65" t="s">
        <v>33</v>
      </c>
      <c r="C21" s="66"/>
      <c r="D21" s="66"/>
      <c r="E21" s="66"/>
      <c r="F21" s="66"/>
      <c r="G21" s="67"/>
      <c r="H21" s="12">
        <f>H19+H20</f>
        <v>3741.9546421051209</v>
      </c>
      <c r="I21" s="12">
        <f t="shared" ref="I21:J21" si="6">I19+I20</f>
        <v>112.55789509223649</v>
      </c>
      <c r="J21" s="12">
        <f t="shared" si="6"/>
        <v>905.61282771893059</v>
      </c>
      <c r="K21" s="12">
        <f>SUM(H21:J21)</f>
        <v>4760.1253649162882</v>
      </c>
      <c r="L21" s="12">
        <f t="shared" ref="L21" si="7">L19+L20</f>
        <v>166.53692378952039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40</v>
      </c>
    </row>
    <row r="25" spans="1:12" s="41" customFormat="1" ht="38.25" customHeight="1" x14ac:dyDescent="0.2">
      <c r="A25" s="43" t="s">
        <v>12</v>
      </c>
      <c r="B25" s="68" t="s">
        <v>58</v>
      </c>
      <c r="C25" s="68"/>
      <c r="D25" s="68"/>
      <c r="E25" s="68"/>
      <c r="F25" s="68"/>
      <c r="G25" s="68"/>
      <c r="H25" s="68"/>
      <c r="I25" s="68"/>
      <c r="J25" s="68"/>
      <c r="K25" s="68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51</v>
      </c>
      <c r="C35" s="47"/>
      <c r="D35" s="47"/>
      <c r="E35" s="48"/>
      <c r="F35" s="47"/>
      <c r="G35" s="47"/>
      <c r="H35" s="48"/>
      <c r="I35" s="47" t="s">
        <v>52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K10:K11"/>
    <mergeCell ref="L10:L11"/>
    <mergeCell ref="A5:K5"/>
    <mergeCell ref="A6:K6"/>
    <mergeCell ref="A7:K7"/>
    <mergeCell ref="A8:K8"/>
    <mergeCell ref="A9:K9"/>
    <mergeCell ref="F10:F11"/>
    <mergeCell ref="G10:G11"/>
    <mergeCell ref="H10:J10"/>
    <mergeCell ref="A17:G17"/>
    <mergeCell ref="A19:G19"/>
    <mergeCell ref="A12:J12"/>
    <mergeCell ref="A10:A11"/>
    <mergeCell ref="B10:B11"/>
    <mergeCell ref="C10:C11"/>
    <mergeCell ref="D10:D11"/>
    <mergeCell ref="E10:E11"/>
    <mergeCell ref="A18:G18"/>
    <mergeCell ref="A15:G15"/>
    <mergeCell ref="B20:G20"/>
    <mergeCell ref="B25:K25"/>
    <mergeCell ref="A16:G16"/>
    <mergeCell ref="B21:G21"/>
  </mergeCells>
  <pageMargins left="0.70866141732283472" right="0" top="0.74803149606299213" bottom="0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opLeftCell="A4" workbookViewId="0">
      <selection activeCell="H20" sqref="H20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84" customHeight="1" x14ac:dyDescent="0.2">
      <c r="A11" s="64"/>
      <c r="B11" s="64"/>
      <c r="C11" s="64"/>
      <c r="D11" s="78"/>
      <c r="E11" s="64"/>
      <c r="F11" s="77"/>
      <c r="G11" s="78"/>
      <c r="H11" s="58" t="s">
        <v>20</v>
      </c>
      <c r="I11" s="58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46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58"/>
    </row>
    <row r="13" spans="1:15" s="3" customFormat="1" ht="91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41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39</v>
      </c>
      <c r="C15" s="18" t="s">
        <v>18</v>
      </c>
      <c r="D15" s="19">
        <v>385.1</v>
      </c>
      <c r="E15" s="18">
        <v>1</v>
      </c>
      <c r="F15" s="37">
        <f>ROUND((( 2.5+7.5+2.6+5+3)/100+1),3)</f>
        <v>1.206</v>
      </c>
      <c r="G15" s="19">
        <f>ROUND((D15*E15*F15),2)</f>
        <v>464.43</v>
      </c>
      <c r="H15" s="20">
        <f>ROUND((0.8*G15*1.09*0.9721),2)</f>
        <v>393.68</v>
      </c>
      <c r="I15" s="20">
        <f>G15*0.04*1.09*0.9721</f>
        <v>19.6841967708</v>
      </c>
      <c r="J15" s="20">
        <f>ROUND((0.16*G15*1.09*0.9721),2)</f>
        <v>78.739999999999995</v>
      </c>
      <c r="K15" s="32">
        <f>SUM(H15:J15)</f>
        <v>492.1041967708</v>
      </c>
      <c r="L15" s="51">
        <f>K15*0.07</f>
        <v>34.447293773956005</v>
      </c>
      <c r="N15" s="45"/>
      <c r="O15" s="46"/>
    </row>
    <row r="16" spans="1:15" s="3" customFormat="1" ht="13.5" x14ac:dyDescent="0.2">
      <c r="A16" s="69" t="s">
        <v>9</v>
      </c>
      <c r="B16" s="70"/>
      <c r="C16" s="70"/>
      <c r="D16" s="70"/>
      <c r="E16" s="70"/>
      <c r="F16" s="70"/>
      <c r="G16" s="71"/>
      <c r="H16" s="7">
        <f>SUM(H13:H15)</f>
        <v>466.67</v>
      </c>
      <c r="I16" s="7">
        <f>SUM(I13:I15)</f>
        <v>19.6841967708</v>
      </c>
      <c r="J16" s="7">
        <f>SUM(J13:J15)</f>
        <v>94.264690000000002</v>
      </c>
      <c r="K16" s="7">
        <f>SUM(H16:J16)</f>
        <v>580.61888677080003</v>
      </c>
      <c r="L16" s="7">
        <f>SUM(L13:L15)</f>
        <v>40.529593773956009</v>
      </c>
      <c r="N16" s="45"/>
      <c r="O16" s="46"/>
    </row>
    <row r="17" spans="1:12" s="9" customFormat="1" ht="13.5" customHeight="1" x14ac:dyDescent="0.2">
      <c r="A17" s="72" t="s">
        <v>10</v>
      </c>
      <c r="B17" s="72"/>
      <c r="C17" s="72"/>
      <c r="D17" s="72"/>
      <c r="E17" s="72"/>
      <c r="F17" s="72"/>
      <c r="G17" s="72"/>
      <c r="H17" s="8">
        <f>H16</f>
        <v>466.67</v>
      </c>
      <c r="I17" s="8">
        <f t="shared" ref="I17:J17" si="0">I16</f>
        <v>19.6841967708</v>
      </c>
      <c r="J17" s="8">
        <f t="shared" si="0"/>
        <v>94.264690000000002</v>
      </c>
      <c r="K17" s="8">
        <f>K16</f>
        <v>580.61888677080003</v>
      </c>
      <c r="L17" s="8">
        <f t="shared" ref="L17" si="1">L16</f>
        <v>40.529593773956009</v>
      </c>
    </row>
    <row r="18" spans="1:12" s="9" customFormat="1" ht="13.5" customHeight="1" x14ac:dyDescent="0.2">
      <c r="A18" s="73" t="s">
        <v>56</v>
      </c>
      <c r="B18" s="74"/>
      <c r="C18" s="74"/>
      <c r="D18" s="74"/>
      <c r="E18" s="74"/>
      <c r="F18" s="74"/>
      <c r="G18" s="75"/>
      <c r="H18" s="10">
        <f>H17*7.53</f>
        <v>3514.0251000000003</v>
      </c>
      <c r="I18" s="10">
        <f>I17*4.53</f>
        <v>89.16941137172401</v>
      </c>
      <c r="J18" s="10">
        <f>J17*8.93</f>
        <v>841.78368169999999</v>
      </c>
      <c r="K18" s="11">
        <f>SUM(H18:J18)</f>
        <v>4444.9781930717245</v>
      </c>
      <c r="L18" s="10">
        <f>L17*3.83</f>
        <v>155.22834415425152</v>
      </c>
    </row>
    <row r="19" spans="1:12" s="9" customFormat="1" ht="13.5" customHeight="1" x14ac:dyDescent="0.2">
      <c r="A19" s="62" t="s">
        <v>57</v>
      </c>
      <c r="B19" s="62"/>
      <c r="C19" s="62"/>
      <c r="D19" s="62"/>
      <c r="E19" s="62"/>
      <c r="F19" s="62"/>
      <c r="G19" s="62"/>
      <c r="H19" s="12">
        <f>H18*1.0115</f>
        <v>3554.4363886500005</v>
      </c>
      <c r="I19" s="12">
        <f t="shared" ref="I19:J19" si="2">I18*1.0115</f>
        <v>90.194859602498838</v>
      </c>
      <c r="J19" s="12">
        <f t="shared" si="2"/>
        <v>851.46419403955008</v>
      </c>
      <c r="K19" s="61">
        <f>SUM(H19:J19)</f>
        <v>4496.0954422920495</v>
      </c>
      <c r="L19" s="12">
        <f>L18*1.0115</f>
        <v>157.01347011202543</v>
      </c>
    </row>
    <row r="20" spans="1:12" s="9" customFormat="1" ht="13.5" customHeight="1" x14ac:dyDescent="0.2">
      <c r="A20" s="62" t="s">
        <v>54</v>
      </c>
      <c r="B20" s="62"/>
      <c r="C20" s="62"/>
      <c r="D20" s="62"/>
      <c r="E20" s="62"/>
      <c r="F20" s="62"/>
      <c r="G20" s="62"/>
      <c r="H20" s="12">
        <f>H19*1.044</f>
        <v>3710.8315897506004</v>
      </c>
      <c r="I20" s="12">
        <f t="shared" ref="I20:J20" si="3">I19*1.044</f>
        <v>94.16343342500879</v>
      </c>
      <c r="J20" s="12">
        <f t="shared" si="3"/>
        <v>888.92861857729031</v>
      </c>
      <c r="K20" s="61">
        <f>SUM(H20:J20)</f>
        <v>4693.9236417528991</v>
      </c>
      <c r="L20" s="12">
        <f>L19*1.044</f>
        <v>163.92206279695455</v>
      </c>
    </row>
    <row r="21" spans="1:12" s="9" customFormat="1" ht="13.5" hidden="1" customHeight="1" x14ac:dyDescent="0.2">
      <c r="A21" s="57"/>
      <c r="B21" s="65" t="s">
        <v>32</v>
      </c>
      <c r="C21" s="66"/>
      <c r="D21" s="66"/>
      <c r="E21" s="66"/>
      <c r="F21" s="66"/>
      <c r="G21" s="67"/>
      <c r="H21" s="39">
        <f>H20*0.18</f>
        <v>667.949686155108</v>
      </c>
      <c r="I21" s="39">
        <f t="shared" ref="I21:J21" si="4">I20*0.18</f>
        <v>16.949418016501582</v>
      </c>
      <c r="J21" s="39">
        <f t="shared" si="4"/>
        <v>160.00715134391226</v>
      </c>
      <c r="K21" s="39">
        <f>SUM(H21:J21)</f>
        <v>844.90625551552182</v>
      </c>
      <c r="L21" s="39">
        <f t="shared" ref="L21" si="5">L20*0.18</f>
        <v>29.505971303451819</v>
      </c>
    </row>
    <row r="22" spans="1:12" s="9" customFormat="1" ht="13.5" hidden="1" customHeight="1" x14ac:dyDescent="0.2">
      <c r="A22" s="57"/>
      <c r="B22" s="65" t="s">
        <v>33</v>
      </c>
      <c r="C22" s="66"/>
      <c r="D22" s="66"/>
      <c r="E22" s="66"/>
      <c r="F22" s="66"/>
      <c r="G22" s="67"/>
      <c r="H22" s="12">
        <f>H20+H21</f>
        <v>4378.7812759057088</v>
      </c>
      <c r="I22" s="12">
        <f t="shared" ref="I22:J22" si="6">I20+I21</f>
        <v>111.11285144151037</v>
      </c>
      <c r="J22" s="12">
        <f t="shared" si="6"/>
        <v>1048.9357699212026</v>
      </c>
      <c r="K22" s="12">
        <f>SUM(H22:J22)</f>
        <v>5538.8298972684215</v>
      </c>
      <c r="L22" s="12">
        <f t="shared" ref="L22" si="7">L20+L21</f>
        <v>193.42803410040636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68" t="s">
        <v>58</v>
      </c>
      <c r="C26" s="68"/>
      <c r="D26" s="68"/>
      <c r="E26" s="68"/>
      <c r="F26" s="68"/>
      <c r="G26" s="68"/>
      <c r="H26" s="68"/>
      <c r="I26" s="68"/>
      <c r="J26" s="68"/>
      <c r="K26" s="68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51</v>
      </c>
      <c r="C36" s="47"/>
      <c r="D36" s="47"/>
      <c r="E36" s="48"/>
      <c r="F36" s="47"/>
      <c r="G36" s="47"/>
      <c r="H36" s="48"/>
      <c r="I36" s="47" t="s">
        <v>52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A12:J12"/>
    <mergeCell ref="K10:K11"/>
    <mergeCell ref="L10:L11"/>
    <mergeCell ref="A5:K5"/>
    <mergeCell ref="A6:K6"/>
    <mergeCell ref="A7:K7"/>
    <mergeCell ref="A8:K8"/>
    <mergeCell ref="A9:K9"/>
    <mergeCell ref="A19:G19"/>
    <mergeCell ref="B26:K26"/>
    <mergeCell ref="B22:G22"/>
    <mergeCell ref="A16:G16"/>
    <mergeCell ref="A10:A11"/>
    <mergeCell ref="B10:B11"/>
    <mergeCell ref="C10:C11"/>
    <mergeCell ref="D10:D11"/>
    <mergeCell ref="E10:E11"/>
    <mergeCell ref="F10:F11"/>
    <mergeCell ref="G10:G11"/>
    <mergeCell ref="H10:J10"/>
    <mergeCell ref="A17:G17"/>
    <mergeCell ref="A18:G18"/>
    <mergeCell ref="A20:G20"/>
    <mergeCell ref="B21:G21"/>
  </mergeCells>
  <pageMargins left="0.70866141732283472" right="0" top="0.74803149606299213" bottom="0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opLeftCell="A4" zoomScaleNormal="100" workbookViewId="0">
      <selection activeCell="O18" sqref="O18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84" customHeight="1" x14ac:dyDescent="0.2">
      <c r="A11" s="64"/>
      <c r="B11" s="64"/>
      <c r="C11" s="64"/>
      <c r="D11" s="78"/>
      <c r="E11" s="64"/>
      <c r="F11" s="77"/>
      <c r="G11" s="78"/>
      <c r="H11" s="58" t="s">
        <v>20</v>
      </c>
      <c r="I11" s="58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47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58"/>
    </row>
    <row r="13" spans="1:15" s="3" customFormat="1" ht="97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6" customFormat="1" ht="16.5" customHeight="1" x14ac:dyDescent="0.2">
      <c r="A14" s="16">
        <v>3</v>
      </c>
      <c r="B14" s="17" t="s">
        <v>39</v>
      </c>
      <c r="C14" s="18" t="s">
        <v>38</v>
      </c>
      <c r="D14" s="19">
        <f>(385.1-110.3*6+139.5*6)</f>
        <v>560.30000000000007</v>
      </c>
      <c r="E14" s="18">
        <v>1</v>
      </c>
      <c r="F14" s="37">
        <f>ROUND((( 2.5+7.5+2.6+5+3)/100+1),3)*1.013</f>
        <v>1.2216779999999998</v>
      </c>
      <c r="G14" s="19">
        <f>ROUND((D14*E14*F14),2)</f>
        <v>684.51</v>
      </c>
      <c r="H14" s="20">
        <f>ROUND((0.8*G14*1.09*0.9721),2)</f>
        <v>580.24</v>
      </c>
      <c r="I14" s="20">
        <f>G14*0.04*1.09*0.9721</f>
        <v>29.011970655600003</v>
      </c>
      <c r="J14" s="20">
        <f>ROUND((0.16*G14*1.09*0.9721),2)</f>
        <v>116.05</v>
      </c>
      <c r="K14" s="32">
        <f>SUM(H14:J14)</f>
        <v>725.30197065559992</v>
      </c>
      <c r="L14" s="51">
        <f>K14*0.07</f>
        <v>50.771137945892001</v>
      </c>
      <c r="N14" s="45"/>
      <c r="O14" s="46"/>
    </row>
    <row r="15" spans="1:15" s="3" customFormat="1" ht="13.5" x14ac:dyDescent="0.2">
      <c r="A15" s="69" t="s">
        <v>9</v>
      </c>
      <c r="B15" s="70"/>
      <c r="C15" s="70"/>
      <c r="D15" s="70"/>
      <c r="E15" s="70"/>
      <c r="F15" s="70"/>
      <c r="G15" s="71"/>
      <c r="H15" s="7">
        <f>SUM(H13:H14)</f>
        <v>580.24</v>
      </c>
      <c r="I15" s="7">
        <f>SUM(I13:I14)</f>
        <v>29.011970655600003</v>
      </c>
      <c r="J15" s="7">
        <f>SUM(J13:J14)</f>
        <v>117.67469</v>
      </c>
      <c r="K15" s="7">
        <f>SUM(H15:J15)</f>
        <v>726.92666065560002</v>
      </c>
      <c r="L15" s="7">
        <f>SUM(L13:L14)</f>
        <v>50.771137945892001</v>
      </c>
      <c r="N15" s="45"/>
      <c r="O15" s="46"/>
    </row>
    <row r="16" spans="1:15" s="9" customFormat="1" ht="13.5" customHeight="1" x14ac:dyDescent="0.2">
      <c r="A16" s="72" t="s">
        <v>10</v>
      </c>
      <c r="B16" s="72"/>
      <c r="C16" s="72"/>
      <c r="D16" s="72"/>
      <c r="E16" s="72"/>
      <c r="F16" s="72"/>
      <c r="G16" s="72"/>
      <c r="H16" s="8">
        <f>H15</f>
        <v>580.24</v>
      </c>
      <c r="I16" s="8">
        <f t="shared" ref="I16:J16" si="0">I15</f>
        <v>29.011970655600003</v>
      </c>
      <c r="J16" s="8">
        <f t="shared" si="0"/>
        <v>117.67469</v>
      </c>
      <c r="K16" s="8">
        <f>K15</f>
        <v>726.92666065560002</v>
      </c>
      <c r="L16" s="8">
        <f t="shared" ref="L16" si="1">L15</f>
        <v>50.771137945892001</v>
      </c>
    </row>
    <row r="17" spans="1:12" s="9" customFormat="1" ht="13.5" customHeight="1" x14ac:dyDescent="0.2">
      <c r="A17" s="73" t="s">
        <v>56</v>
      </c>
      <c r="B17" s="74"/>
      <c r="C17" s="74"/>
      <c r="D17" s="74"/>
      <c r="E17" s="74"/>
      <c r="F17" s="74"/>
      <c r="G17" s="75"/>
      <c r="H17" s="10">
        <f>H16*7.53</f>
        <v>4369.2071999999998</v>
      </c>
      <c r="I17" s="10">
        <f>I16*4.53</f>
        <v>131.42422706986801</v>
      </c>
      <c r="J17" s="10">
        <f>J16*8.93</f>
        <v>1050.8349816999998</v>
      </c>
      <c r="K17" s="11">
        <f>SUM(H17:J17)</f>
        <v>5551.4664087698675</v>
      </c>
      <c r="L17" s="10">
        <f>L16*3.83</f>
        <v>194.45345833276636</v>
      </c>
    </row>
    <row r="18" spans="1:12" s="9" customFormat="1" ht="13.5" customHeight="1" x14ac:dyDescent="0.2">
      <c r="A18" s="62" t="s">
        <v>57</v>
      </c>
      <c r="B18" s="62"/>
      <c r="C18" s="62"/>
      <c r="D18" s="62"/>
      <c r="E18" s="62"/>
      <c r="F18" s="62"/>
      <c r="G18" s="62"/>
      <c r="H18" s="12">
        <f>H17*1.0115</f>
        <v>4419.4530827999997</v>
      </c>
      <c r="I18" s="12">
        <f t="shared" ref="I18:J18" si="2">I17*1.0115</f>
        <v>132.9356056811715</v>
      </c>
      <c r="J18" s="12">
        <f t="shared" si="2"/>
        <v>1062.9195839895499</v>
      </c>
      <c r="K18" s="61">
        <f>SUM(H18:J18)</f>
        <v>5615.308272470721</v>
      </c>
      <c r="L18" s="12">
        <f>L17*1.0115</f>
        <v>196.68967310359318</v>
      </c>
    </row>
    <row r="19" spans="1:12" s="9" customFormat="1" ht="13.5" customHeight="1" x14ac:dyDescent="0.2">
      <c r="A19" s="62" t="s">
        <v>54</v>
      </c>
      <c r="B19" s="62"/>
      <c r="C19" s="62"/>
      <c r="D19" s="62"/>
      <c r="E19" s="62"/>
      <c r="F19" s="62"/>
      <c r="G19" s="62"/>
      <c r="H19" s="12">
        <f>H18*1.044</f>
        <v>4613.9090184431998</v>
      </c>
      <c r="I19" s="12">
        <f t="shared" ref="I19:J19" si="3">I18*1.044</f>
        <v>138.78477233114305</v>
      </c>
      <c r="J19" s="12">
        <f t="shared" si="3"/>
        <v>1109.6880456850902</v>
      </c>
      <c r="K19" s="61">
        <f>SUM(H19:J19)</f>
        <v>5862.3818364594335</v>
      </c>
      <c r="L19" s="12">
        <f>L18*1.044</f>
        <v>205.3440187201513</v>
      </c>
    </row>
    <row r="20" spans="1:12" s="9" customFormat="1" ht="13.5" hidden="1" customHeight="1" x14ac:dyDescent="0.2">
      <c r="A20" s="57"/>
      <c r="B20" s="65" t="s">
        <v>32</v>
      </c>
      <c r="C20" s="66"/>
      <c r="D20" s="66"/>
      <c r="E20" s="66"/>
      <c r="F20" s="66"/>
      <c r="G20" s="67"/>
      <c r="H20" s="39">
        <f>H19*0.18</f>
        <v>830.5036233197759</v>
      </c>
      <c r="I20" s="39">
        <f t="shared" ref="I20:J20" si="4">I19*0.18</f>
        <v>24.981259019605748</v>
      </c>
      <c r="J20" s="39">
        <f t="shared" si="4"/>
        <v>199.74384822331623</v>
      </c>
      <c r="K20" s="39">
        <f>SUM(H20:J20)</f>
        <v>1055.2287305626978</v>
      </c>
      <c r="L20" s="39">
        <f t="shared" ref="L20" si="5">L19*0.18</f>
        <v>36.961923369627229</v>
      </c>
    </row>
    <row r="21" spans="1:12" s="9" customFormat="1" ht="13.5" hidden="1" customHeight="1" x14ac:dyDescent="0.2">
      <c r="A21" s="57"/>
      <c r="B21" s="65" t="s">
        <v>33</v>
      </c>
      <c r="C21" s="66"/>
      <c r="D21" s="66"/>
      <c r="E21" s="66"/>
      <c r="F21" s="66"/>
      <c r="G21" s="67"/>
      <c r="H21" s="12">
        <f>H19+H20</f>
        <v>5444.4126417629759</v>
      </c>
      <c r="I21" s="12">
        <f t="shared" ref="I21:J21" si="6">I19+I20</f>
        <v>163.76603135074879</v>
      </c>
      <c r="J21" s="12">
        <f t="shared" si="6"/>
        <v>1309.4318939084064</v>
      </c>
      <c r="K21" s="12">
        <f>SUM(H21:J21)</f>
        <v>6917.6105670221314</v>
      </c>
      <c r="L21" s="12">
        <f t="shared" ref="L21" si="7">L19+L20</f>
        <v>242.30594208977851</v>
      </c>
    </row>
    <row r="22" spans="1:12" s="9" customFormat="1" ht="13.5" customHeight="1" x14ac:dyDescent="0.2">
      <c r="A22" s="40"/>
      <c r="B22" s="40"/>
      <c r="C22" s="40"/>
      <c r="D22" s="40"/>
      <c r="E22" s="40"/>
      <c r="F22" s="40"/>
      <c r="G22" s="40"/>
      <c r="H22" s="14"/>
      <c r="I22" s="14"/>
      <c r="J22" s="14"/>
      <c r="K22" s="14"/>
      <c r="L22" s="13"/>
    </row>
    <row r="23" spans="1:12" s="41" customFormat="1" x14ac:dyDescent="0.2">
      <c r="B23" s="42" t="s">
        <v>11</v>
      </c>
    </row>
    <row r="24" spans="1:12" s="41" customFormat="1" x14ac:dyDescent="0.2">
      <c r="B24" s="59" t="s">
        <v>40</v>
      </c>
    </row>
    <row r="25" spans="1:12" s="41" customFormat="1" ht="38.25" customHeight="1" x14ac:dyDescent="0.2">
      <c r="A25" s="43" t="s">
        <v>12</v>
      </c>
      <c r="B25" s="68" t="s">
        <v>58</v>
      </c>
      <c r="C25" s="68"/>
      <c r="D25" s="68"/>
      <c r="E25" s="68"/>
      <c r="F25" s="68"/>
      <c r="G25" s="68"/>
      <c r="H25" s="68"/>
      <c r="I25" s="68"/>
      <c r="J25" s="68"/>
      <c r="K25" s="68"/>
    </row>
    <row r="26" spans="1:12" s="3" customFormat="1" ht="13.5" customHeight="1" x14ac:dyDescent="0.2">
      <c r="A26" s="23" t="s">
        <v>13</v>
      </c>
      <c r="B26" s="3" t="s">
        <v>14</v>
      </c>
    </row>
    <row r="27" spans="1:12" s="15" customFormat="1" outlineLevel="1" x14ac:dyDescent="0.2">
      <c r="A27" s="24">
        <v>3</v>
      </c>
      <c r="B27" s="25" t="s">
        <v>27</v>
      </c>
    </row>
    <row r="28" spans="1:12" s="15" customFormat="1" ht="16.5" customHeight="1" outlineLevel="1" x14ac:dyDescent="0.2">
      <c r="A28" s="26"/>
      <c r="B28" s="15" t="s">
        <v>37</v>
      </c>
      <c r="D28" s="15" t="s">
        <v>31</v>
      </c>
      <c r="I28" s="27"/>
    </row>
    <row r="29" spans="1:12" s="15" customFormat="1" outlineLevel="1" x14ac:dyDescent="0.2">
      <c r="A29" s="28" t="s">
        <v>15</v>
      </c>
      <c r="B29" s="15" t="s">
        <v>28</v>
      </c>
    </row>
    <row r="30" spans="1:12" s="15" customFormat="1" outlineLevel="1" x14ac:dyDescent="0.2">
      <c r="A30" s="28" t="s">
        <v>15</v>
      </c>
      <c r="B30" s="15" t="s">
        <v>29</v>
      </c>
    </row>
    <row r="31" spans="1:12" s="15" customFormat="1" outlineLevel="1" x14ac:dyDescent="0.2">
      <c r="A31" s="28" t="s">
        <v>15</v>
      </c>
      <c r="B31" s="15" t="s">
        <v>16</v>
      </c>
    </row>
    <row r="32" spans="1:12" s="15" customFormat="1" outlineLevel="1" x14ac:dyDescent="0.2">
      <c r="A32" s="28" t="s">
        <v>15</v>
      </c>
      <c r="B32" s="15" t="s">
        <v>30</v>
      </c>
    </row>
    <row r="33" spans="1:26" s="15" customFormat="1" outlineLevel="1" x14ac:dyDescent="0.2">
      <c r="A33" s="28" t="s">
        <v>15</v>
      </c>
      <c r="B33" s="15" t="s">
        <v>17</v>
      </c>
    </row>
    <row r="35" spans="1:26" x14ac:dyDescent="0.2">
      <c r="B35" s="47" t="s">
        <v>51</v>
      </c>
      <c r="C35" s="47"/>
      <c r="D35" s="47"/>
      <c r="E35" s="48"/>
      <c r="F35" s="47"/>
      <c r="G35" s="47"/>
      <c r="H35" s="48"/>
      <c r="I35" s="47" t="s">
        <v>52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</sheetData>
  <mergeCells count="24">
    <mergeCell ref="K10:K11"/>
    <mergeCell ref="L10:L11"/>
    <mergeCell ref="B25:K25"/>
    <mergeCell ref="A12:J12"/>
    <mergeCell ref="A5:K5"/>
    <mergeCell ref="A6:K6"/>
    <mergeCell ref="A7:K7"/>
    <mergeCell ref="A8:K8"/>
    <mergeCell ref="A9:K9"/>
    <mergeCell ref="A10:A11"/>
    <mergeCell ref="B10:B11"/>
    <mergeCell ref="C10:C11"/>
    <mergeCell ref="D10:D11"/>
    <mergeCell ref="E10:E11"/>
    <mergeCell ref="F10:F11"/>
    <mergeCell ref="G10:G11"/>
    <mergeCell ref="H10:J10"/>
    <mergeCell ref="A16:G16"/>
    <mergeCell ref="A17:G17"/>
    <mergeCell ref="A19:G19"/>
    <mergeCell ref="B21:G21"/>
    <mergeCell ref="A15:G15"/>
    <mergeCell ref="B20:G20"/>
    <mergeCell ref="A18:G18"/>
  </mergeCells>
  <pageMargins left="0.78740157480314965" right="0" top="0.39370078740157483" bottom="0" header="0.31496062992125984" footer="0.31496062992125984"/>
  <pageSetup paperSize="9" scale="8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abSelected="1" topLeftCell="A13" zoomScaleNormal="100" workbookViewId="0">
      <selection activeCell="I36" sqref="I36"/>
    </sheetView>
  </sheetViews>
  <sheetFormatPr defaultColWidth="10.28515625" defaultRowHeight="12.75" outlineLevelRow="1" x14ac:dyDescent="0.2"/>
  <cols>
    <col min="1" max="1" width="3.85546875" style="1" customWidth="1"/>
    <col min="2" max="2" width="40.7109375" style="1" customWidth="1"/>
    <col min="3" max="3" width="11.42578125" style="1" customWidth="1"/>
    <col min="4" max="4" width="11" style="1" customWidth="1"/>
    <col min="5" max="5" width="7.85546875" style="1" customWidth="1"/>
    <col min="6" max="6" width="14" style="1" customWidth="1"/>
    <col min="7" max="7" width="11.85546875" style="1" customWidth="1"/>
    <col min="8" max="8" width="11.42578125" style="1" customWidth="1"/>
    <col min="9" max="9" width="10.28515625" style="1" customWidth="1"/>
    <col min="10" max="10" width="11.28515625" style="1" customWidth="1"/>
    <col min="11" max="11" width="11.5703125" style="1" customWidth="1"/>
    <col min="12" max="12" width="9.5703125" style="1" customWidth="1"/>
    <col min="13" max="16384" width="10.28515625" style="1"/>
  </cols>
  <sheetData>
    <row r="1" spans="1:15" x14ac:dyDescent="0.2">
      <c r="J1" s="44" t="s">
        <v>34</v>
      </c>
      <c r="K1" s="45"/>
    </row>
    <row r="2" spans="1:15" x14ac:dyDescent="0.2">
      <c r="J2" s="45"/>
      <c r="K2" s="46" t="s">
        <v>35</v>
      </c>
    </row>
    <row r="3" spans="1:15" x14ac:dyDescent="0.2">
      <c r="J3" s="45"/>
      <c r="K3" s="46" t="s">
        <v>36</v>
      </c>
    </row>
    <row r="4" spans="1:15" x14ac:dyDescent="0.2">
      <c r="J4" s="45"/>
      <c r="K4" s="46" t="s">
        <v>50</v>
      </c>
    </row>
    <row r="5" spans="1:15" x14ac:dyDescent="0.2">
      <c r="A5" s="84" t="s">
        <v>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0" customHeight="1" x14ac:dyDescent="0.2">
      <c r="A6" s="85" t="s">
        <v>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 s="2" customForma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5" ht="12.75" customHeight="1" x14ac:dyDescent="0.2">
      <c r="A8" s="85" t="s">
        <v>53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5" s="3" customFormat="1" x14ac:dyDescent="0.2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5" ht="27" customHeight="1" x14ac:dyDescent="0.2">
      <c r="A10" s="63" t="s">
        <v>2</v>
      </c>
      <c r="B10" s="63" t="s">
        <v>3</v>
      </c>
      <c r="C10" s="63" t="s">
        <v>4</v>
      </c>
      <c r="D10" s="63" t="s">
        <v>5</v>
      </c>
      <c r="E10" s="63" t="s">
        <v>6</v>
      </c>
      <c r="F10" s="76" t="s">
        <v>7</v>
      </c>
      <c r="G10" s="63" t="s">
        <v>8</v>
      </c>
      <c r="H10" s="79" t="s">
        <v>19</v>
      </c>
      <c r="I10" s="80"/>
      <c r="J10" s="80"/>
      <c r="K10" s="81" t="s">
        <v>23</v>
      </c>
      <c r="L10" s="63" t="s">
        <v>48</v>
      </c>
    </row>
    <row r="11" spans="1:15" ht="102" x14ac:dyDescent="0.2">
      <c r="A11" s="64"/>
      <c r="B11" s="64"/>
      <c r="C11" s="64"/>
      <c r="D11" s="78"/>
      <c r="E11" s="64"/>
      <c r="F11" s="77"/>
      <c r="G11" s="78"/>
      <c r="H11" s="58" t="s">
        <v>20</v>
      </c>
      <c r="I11" s="58" t="s">
        <v>21</v>
      </c>
      <c r="J11" s="5" t="s">
        <v>22</v>
      </c>
      <c r="K11" s="81"/>
      <c r="L11" s="64"/>
    </row>
    <row r="12" spans="1:15" s="3" customFormat="1" ht="15.75" customHeight="1" x14ac:dyDescent="0.2">
      <c r="A12" s="82" t="s">
        <v>49</v>
      </c>
      <c r="B12" s="83"/>
      <c r="C12" s="83"/>
      <c r="D12" s="83"/>
      <c r="E12" s="83"/>
      <c r="F12" s="83"/>
      <c r="G12" s="83"/>
      <c r="H12" s="83"/>
      <c r="I12" s="83"/>
      <c r="J12" s="83"/>
      <c r="K12" s="21"/>
      <c r="L12" s="58"/>
    </row>
    <row r="13" spans="1:15" s="3" customFormat="1" ht="91.5" customHeight="1" x14ac:dyDescent="0.2">
      <c r="A13" s="29">
        <v>1</v>
      </c>
      <c r="B13" s="22" t="s">
        <v>24</v>
      </c>
      <c r="C13" s="30" t="s">
        <v>25</v>
      </c>
      <c r="D13" s="31">
        <f>1.29 /7.94</f>
        <v>0.16246851385390429</v>
      </c>
      <c r="E13" s="52">
        <f>10*1000</f>
        <v>10000</v>
      </c>
      <c r="F13" s="52">
        <v>1</v>
      </c>
      <c r="G13" s="53">
        <f>ROUND((D13*E13*F13),2)/1000</f>
        <v>1.62469</v>
      </c>
      <c r="H13" s="54"/>
      <c r="I13" s="54"/>
      <c r="J13" s="55">
        <f>G13</f>
        <v>1.62469</v>
      </c>
      <c r="K13" s="56">
        <f>SUM(H13:J13)</f>
        <v>1.62469</v>
      </c>
      <c r="L13" s="50"/>
      <c r="N13" s="44"/>
      <c r="O13" s="45"/>
    </row>
    <row r="14" spans="1:15" s="3" customFormat="1" ht="14.25" customHeight="1" x14ac:dyDescent="0.2">
      <c r="A14" s="33">
        <v>2</v>
      </c>
      <c r="B14" s="34" t="s">
        <v>26</v>
      </c>
      <c r="C14" s="35" t="s">
        <v>41</v>
      </c>
      <c r="D14" s="36">
        <v>68</v>
      </c>
      <c r="E14" s="60">
        <v>1</v>
      </c>
      <c r="F14" s="37">
        <f>ROUND((( 2.5+7.5+2.6+5+3)/100+1),3)</f>
        <v>1.206</v>
      </c>
      <c r="G14" s="19">
        <f>ROUND((D14*E14*F14),2)</f>
        <v>82.01</v>
      </c>
      <c r="H14" s="20">
        <f>ROUND((0.84*G14*1.09*0.9721),2)</f>
        <v>72.989999999999995</v>
      </c>
      <c r="I14" s="20">
        <v>0</v>
      </c>
      <c r="J14" s="20">
        <f>ROUND((0.16*G14*1.09*0.9721),2)</f>
        <v>13.9</v>
      </c>
      <c r="K14" s="32">
        <f>SUM(H14:J14)</f>
        <v>86.89</v>
      </c>
      <c r="L14" s="51">
        <f>K14*0.07</f>
        <v>6.0823000000000009</v>
      </c>
      <c r="N14" s="44"/>
      <c r="O14" s="45"/>
    </row>
    <row r="15" spans="1:15" s="6" customFormat="1" ht="16.5" customHeight="1" x14ac:dyDescent="0.2">
      <c r="A15" s="16">
        <v>3</v>
      </c>
      <c r="B15" s="17" t="s">
        <v>39</v>
      </c>
      <c r="C15" s="18" t="s">
        <v>18</v>
      </c>
      <c r="D15" s="19">
        <f>(385.1-110.3*6+139.5*6)</f>
        <v>560.30000000000007</v>
      </c>
      <c r="E15" s="18">
        <v>1</v>
      </c>
      <c r="F15" s="37">
        <f>ROUND((( 2.5+7.5+2.6+5+3)/100+1),3)</f>
        <v>1.206</v>
      </c>
      <c r="G15" s="19">
        <f>ROUND((D15*E15*F15),2)</f>
        <v>675.72</v>
      </c>
      <c r="H15" s="20">
        <f>ROUND((0.8*G15*1.09*0.9721),2)</f>
        <v>572.79</v>
      </c>
      <c r="I15" s="20">
        <f>G15*0.04*1.09*0.9721</f>
        <v>28.639419163200003</v>
      </c>
      <c r="J15" s="20">
        <f>ROUND((0.16*G15*1.09*0.9721),2)</f>
        <v>114.56</v>
      </c>
      <c r="K15" s="32">
        <f>SUM(H15:J15)</f>
        <v>715.98941916319995</v>
      </c>
      <c r="L15" s="51">
        <f>K15*0.07</f>
        <v>50.119259341424005</v>
      </c>
      <c r="N15" s="45"/>
      <c r="O15" s="46"/>
    </row>
    <row r="16" spans="1:15" s="3" customFormat="1" ht="13.5" x14ac:dyDescent="0.2">
      <c r="A16" s="69" t="s">
        <v>9</v>
      </c>
      <c r="B16" s="70"/>
      <c r="C16" s="70"/>
      <c r="D16" s="70"/>
      <c r="E16" s="70"/>
      <c r="F16" s="70"/>
      <c r="G16" s="71"/>
      <c r="H16" s="7">
        <f>SUM(H13:H15)</f>
        <v>645.78</v>
      </c>
      <c r="I16" s="7">
        <f>SUM(I13:I15)</f>
        <v>28.639419163200003</v>
      </c>
      <c r="J16" s="7">
        <f>SUM(J13:J15)</f>
        <v>130.08468999999999</v>
      </c>
      <c r="K16" s="7">
        <f>SUM(H16:J16)</f>
        <v>804.50410916320004</v>
      </c>
      <c r="L16" s="7">
        <f>SUM(L13:L15)</f>
        <v>56.201559341424009</v>
      </c>
      <c r="N16" s="45"/>
      <c r="O16" s="46"/>
    </row>
    <row r="17" spans="1:12" s="9" customFormat="1" ht="13.5" customHeight="1" x14ac:dyDescent="0.2">
      <c r="A17" s="72" t="s">
        <v>10</v>
      </c>
      <c r="B17" s="72"/>
      <c r="C17" s="72"/>
      <c r="D17" s="72"/>
      <c r="E17" s="72"/>
      <c r="F17" s="72"/>
      <c r="G17" s="72"/>
      <c r="H17" s="8">
        <f>H16</f>
        <v>645.78</v>
      </c>
      <c r="I17" s="8">
        <f t="shared" ref="I17:J17" si="0">I16</f>
        <v>28.639419163200003</v>
      </c>
      <c r="J17" s="8">
        <f t="shared" si="0"/>
        <v>130.08468999999999</v>
      </c>
      <c r="K17" s="8">
        <f>K16</f>
        <v>804.50410916320004</v>
      </c>
      <c r="L17" s="8">
        <f t="shared" ref="L17" si="1">L16</f>
        <v>56.201559341424009</v>
      </c>
    </row>
    <row r="18" spans="1:12" s="9" customFormat="1" ht="13.5" customHeight="1" x14ac:dyDescent="0.2">
      <c r="A18" s="73" t="s">
        <v>56</v>
      </c>
      <c r="B18" s="74"/>
      <c r="C18" s="74"/>
      <c r="D18" s="74"/>
      <c r="E18" s="74"/>
      <c r="F18" s="74"/>
      <c r="G18" s="75"/>
      <c r="H18" s="10">
        <f>H17*7.53</f>
        <v>4862.7233999999999</v>
      </c>
      <c r="I18" s="10">
        <f>I17*4.53</f>
        <v>129.73656880929602</v>
      </c>
      <c r="J18" s="10">
        <f>J17*8.93</f>
        <v>1161.6562816999999</v>
      </c>
      <c r="K18" s="11">
        <f>SUM(H18:J18)</f>
        <v>6154.1162505092962</v>
      </c>
      <c r="L18" s="10">
        <f>L17*3.83</f>
        <v>215.25197227765395</v>
      </c>
    </row>
    <row r="19" spans="1:12" s="9" customFormat="1" ht="13.5" customHeight="1" x14ac:dyDescent="0.2">
      <c r="A19" s="62" t="s">
        <v>57</v>
      </c>
      <c r="B19" s="62"/>
      <c r="C19" s="62"/>
      <c r="D19" s="62"/>
      <c r="E19" s="62"/>
      <c r="F19" s="62"/>
      <c r="G19" s="62"/>
      <c r="H19" s="12">
        <f>H18*1.0115</f>
        <v>4918.6447190999997</v>
      </c>
      <c r="I19" s="12">
        <f t="shared" ref="I19:J19" si="2">I18*1.0115</f>
        <v>131.22853935060294</v>
      </c>
      <c r="J19" s="12">
        <f t="shared" si="2"/>
        <v>1175.01532893955</v>
      </c>
      <c r="K19" s="61">
        <f>SUM(H19:J19)</f>
        <v>6224.8885873901527</v>
      </c>
      <c r="L19" s="12">
        <f>L18*1.0115</f>
        <v>217.72736995884699</v>
      </c>
    </row>
    <row r="20" spans="1:12" s="9" customFormat="1" ht="13.5" customHeight="1" x14ac:dyDescent="0.2">
      <c r="A20" s="62" t="s">
        <v>54</v>
      </c>
      <c r="B20" s="62"/>
      <c r="C20" s="62"/>
      <c r="D20" s="62"/>
      <c r="E20" s="62"/>
      <c r="F20" s="62"/>
      <c r="G20" s="62"/>
      <c r="H20" s="12">
        <f>H19*1.044</f>
        <v>5135.0650867404001</v>
      </c>
      <c r="I20" s="12">
        <f>I19*1.044</f>
        <v>137.00259508202947</v>
      </c>
      <c r="J20" s="12">
        <f t="shared" ref="J20" si="3">J19*1.044</f>
        <v>1226.7160034128904</v>
      </c>
      <c r="K20" s="61">
        <f>SUM(H20:J20)</f>
        <v>6498.7836852353194</v>
      </c>
      <c r="L20" s="12">
        <f>L19*1.044</f>
        <v>227.30737423703627</v>
      </c>
    </row>
    <row r="21" spans="1:12" s="9" customFormat="1" ht="13.5" hidden="1" customHeight="1" x14ac:dyDescent="0.2">
      <c r="A21" s="57"/>
      <c r="B21" s="65" t="s">
        <v>32</v>
      </c>
      <c r="C21" s="66"/>
      <c r="D21" s="66"/>
      <c r="E21" s="66"/>
      <c r="F21" s="66"/>
      <c r="G21" s="67"/>
      <c r="H21" s="39">
        <f>H20*0.18</f>
        <v>924.31171561327199</v>
      </c>
      <c r="I21" s="39">
        <f t="shared" ref="I21:J21" si="4">I20*0.18</f>
        <v>24.660467114765304</v>
      </c>
      <c r="J21" s="39">
        <f t="shared" si="4"/>
        <v>220.80888061432026</v>
      </c>
      <c r="K21" s="39">
        <f>SUM(H21:J21)</f>
        <v>1169.7810633423576</v>
      </c>
      <c r="L21" s="39">
        <f t="shared" ref="L21" si="5">L20*0.18</f>
        <v>40.915327362666524</v>
      </c>
    </row>
    <row r="22" spans="1:12" s="9" customFormat="1" ht="13.5" hidden="1" customHeight="1" x14ac:dyDescent="0.2">
      <c r="A22" s="57"/>
      <c r="B22" s="65" t="s">
        <v>33</v>
      </c>
      <c r="C22" s="66"/>
      <c r="D22" s="66"/>
      <c r="E22" s="66"/>
      <c r="F22" s="66"/>
      <c r="G22" s="67"/>
      <c r="H22" s="12">
        <f>H20+H21</f>
        <v>6059.3768023536722</v>
      </c>
      <c r="I22" s="12">
        <f t="shared" ref="I22:J22" si="6">I20+I21</f>
        <v>161.66306219679478</v>
      </c>
      <c r="J22" s="12">
        <f t="shared" si="6"/>
        <v>1447.5248840272106</v>
      </c>
      <c r="K22" s="12">
        <f>SUM(H22:J22)</f>
        <v>7668.5647485776781</v>
      </c>
      <c r="L22" s="12">
        <f t="shared" ref="L22" si="7">L20+L21</f>
        <v>268.22270159970282</v>
      </c>
    </row>
    <row r="23" spans="1:12" s="9" customFormat="1" ht="13.5" customHeight="1" x14ac:dyDescent="0.2">
      <c r="A23" s="40"/>
      <c r="B23" s="40"/>
      <c r="C23" s="40"/>
      <c r="D23" s="40"/>
      <c r="E23" s="40"/>
      <c r="F23" s="40"/>
      <c r="G23" s="40"/>
      <c r="H23" s="14"/>
      <c r="I23" s="14"/>
      <c r="J23" s="14"/>
      <c r="K23" s="14"/>
      <c r="L23" s="13"/>
    </row>
    <row r="24" spans="1:12" s="41" customFormat="1" x14ac:dyDescent="0.2">
      <c r="B24" s="42" t="s">
        <v>11</v>
      </c>
    </row>
    <row r="25" spans="1:12" s="41" customFormat="1" x14ac:dyDescent="0.2">
      <c r="B25" s="59"/>
    </row>
    <row r="26" spans="1:12" s="41" customFormat="1" ht="38.25" customHeight="1" x14ac:dyDescent="0.2">
      <c r="A26" s="43" t="s">
        <v>12</v>
      </c>
      <c r="B26" s="68" t="s">
        <v>58</v>
      </c>
      <c r="C26" s="68"/>
      <c r="D26" s="68"/>
      <c r="E26" s="68"/>
      <c r="F26" s="68"/>
      <c r="G26" s="68"/>
      <c r="H26" s="68"/>
      <c r="I26" s="68"/>
      <c r="J26" s="68"/>
      <c r="K26" s="68"/>
    </row>
    <row r="27" spans="1:12" s="3" customFormat="1" ht="13.5" customHeight="1" x14ac:dyDescent="0.2">
      <c r="A27" s="23" t="s">
        <v>13</v>
      </c>
      <c r="B27" s="3" t="s">
        <v>14</v>
      </c>
    </row>
    <row r="28" spans="1:12" s="15" customFormat="1" outlineLevel="1" x14ac:dyDescent="0.2">
      <c r="A28" s="24">
        <v>3</v>
      </c>
      <c r="B28" s="25" t="s">
        <v>27</v>
      </c>
    </row>
    <row r="29" spans="1:12" s="15" customFormat="1" ht="16.5" customHeight="1" outlineLevel="1" x14ac:dyDescent="0.2">
      <c r="A29" s="26"/>
      <c r="B29" s="15" t="s">
        <v>37</v>
      </c>
      <c r="D29" s="15" t="s">
        <v>31</v>
      </c>
      <c r="I29" s="27"/>
    </row>
    <row r="30" spans="1:12" s="15" customFormat="1" outlineLevel="1" x14ac:dyDescent="0.2">
      <c r="A30" s="28" t="s">
        <v>15</v>
      </c>
      <c r="B30" s="15" t="s">
        <v>28</v>
      </c>
    </row>
    <row r="31" spans="1:12" s="15" customFormat="1" outlineLevel="1" x14ac:dyDescent="0.2">
      <c r="A31" s="28" t="s">
        <v>15</v>
      </c>
      <c r="B31" s="15" t="s">
        <v>29</v>
      </c>
    </row>
    <row r="32" spans="1:12" s="15" customFormat="1" outlineLevel="1" x14ac:dyDescent="0.2">
      <c r="A32" s="28" t="s">
        <v>15</v>
      </c>
      <c r="B32" s="15" t="s">
        <v>16</v>
      </c>
    </row>
    <row r="33" spans="1:26" s="15" customFormat="1" outlineLevel="1" x14ac:dyDescent="0.2">
      <c r="A33" s="28" t="s">
        <v>15</v>
      </c>
      <c r="B33" s="15" t="s">
        <v>30</v>
      </c>
    </row>
    <row r="34" spans="1:26" s="15" customFormat="1" outlineLevel="1" x14ac:dyDescent="0.2">
      <c r="A34" s="28" t="s">
        <v>15</v>
      </c>
      <c r="B34" s="15" t="s">
        <v>17</v>
      </c>
    </row>
    <row r="36" spans="1:26" x14ac:dyDescent="0.2">
      <c r="B36" s="47" t="s">
        <v>51</v>
      </c>
      <c r="C36" s="47"/>
      <c r="D36" s="47"/>
      <c r="E36" s="48"/>
      <c r="F36" s="47"/>
      <c r="G36" s="47"/>
      <c r="H36" s="48"/>
      <c r="I36" s="47" t="s">
        <v>59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</sheetData>
  <mergeCells count="24">
    <mergeCell ref="G10:G11"/>
    <mergeCell ref="H10:J10"/>
    <mergeCell ref="K10:K11"/>
    <mergeCell ref="A5:K5"/>
    <mergeCell ref="A6:K6"/>
    <mergeCell ref="A7:K7"/>
    <mergeCell ref="A8:K8"/>
    <mergeCell ref="A9:K9"/>
    <mergeCell ref="A19:G19"/>
    <mergeCell ref="L10:L11"/>
    <mergeCell ref="B26:K26"/>
    <mergeCell ref="A16:G16"/>
    <mergeCell ref="A17:G17"/>
    <mergeCell ref="A18:G18"/>
    <mergeCell ref="A20:G20"/>
    <mergeCell ref="B21:G21"/>
    <mergeCell ref="B22:G22"/>
    <mergeCell ref="A12:J12"/>
    <mergeCell ref="A10:A11"/>
    <mergeCell ref="B10:B11"/>
    <mergeCell ref="C10:C11"/>
    <mergeCell ref="D10:D11"/>
    <mergeCell ref="E10:E11"/>
    <mergeCell ref="F10:F11"/>
  </mergeCells>
  <pageMargins left="0.78740157480314965" right="0" top="0.74803149606299213" bottom="0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СИП-50 город</vt:lpstr>
      <vt:lpstr>СИП-50 с просекой</vt:lpstr>
      <vt:lpstr>СИП-70 город</vt:lpstr>
      <vt:lpstr>СИП-70 с просекой</vt:lpstr>
      <vt:lpstr>СИП-95 город</vt:lpstr>
      <vt:lpstr>СИП-95 с просекой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2018-10-24T05:56:03Z</dcterms:modified>
</cp:coreProperties>
</file>