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tchenko_ya\Desktop\заявки внеплановые услуга\Заявка 3041 ПЭС\ТЗ подряд Приморские ЭС\"/>
    </mc:Choice>
  </mc:AlternateContent>
  <bookViews>
    <workbookView xWindow="-15" yWindow="-15" windowWidth="19320" windowHeight="4545" tabRatio="802" activeTab="3"/>
  </bookViews>
  <sheets>
    <sheet name="Оборудование и материалы" sheetId="26" r:id="rId1"/>
    <sheet name="ПРРЭС (2018)" sheetId="109" r:id="rId2"/>
    <sheet name="Октяб.РЭС (2018)" sheetId="111" r:id="rId3"/>
    <sheet name="ПКУ (2018)" sheetId="113" r:id="rId4"/>
  </sheets>
  <definedNames>
    <definedName name="_xlnm._FilterDatabase" localSheetId="0" hidden="1">'Оборудование и материалы'!$A$3:$K$143</definedName>
    <definedName name="_xlnm._FilterDatabase" localSheetId="2" hidden="1">'Октяб.РЭС (2018)'!$G$9:$H$249</definedName>
    <definedName name="_xlnm._FilterDatabase" localSheetId="3" hidden="1">'ПКУ (2018)'!$G$9:$H$29</definedName>
    <definedName name="_xlnm._FilterDatabase" localSheetId="1" hidden="1">'ПРРЭС (2018)'!$G$9:$H$249</definedName>
    <definedName name="_xlnm.Print_Area" localSheetId="2">'Октяб.РЭС (2018)'!$A$1:$H$261</definedName>
    <definedName name="_xlnm.Print_Area" localSheetId="3">'ПКУ (2018)'!$A$1:$H$39</definedName>
    <definedName name="_xlnm.Print_Area" localSheetId="1">'ПРРЭС (2018)'!$A$1:$H$260</definedName>
  </definedNames>
  <calcPr calcId="162913"/>
</workbook>
</file>

<file path=xl/calcChain.xml><?xml version="1.0" encoding="utf-8"?>
<calcChain xmlns="http://schemas.openxmlformats.org/spreadsheetml/2006/main">
  <c r="H12" i="113" l="1"/>
  <c r="G12" i="113"/>
  <c r="F12" i="113"/>
  <c r="F18" i="113"/>
  <c r="G18" i="113" l="1"/>
  <c r="H18" i="113" s="1"/>
  <c r="G17" i="113"/>
  <c r="G20" i="113" l="1"/>
  <c r="F17" i="113" l="1"/>
  <c r="H17" i="113" s="1"/>
  <c r="F16" i="113"/>
  <c r="H16" i="113" s="1"/>
  <c r="F15" i="113"/>
  <c r="F14" i="113"/>
  <c r="H14" i="113" s="1"/>
  <c r="F13" i="113"/>
  <c r="H13" i="113" s="1"/>
  <c r="H11" i="113"/>
  <c r="H15" i="113"/>
  <c r="H19" i="113"/>
  <c r="H20" i="113"/>
  <c r="H21" i="113"/>
  <c r="H10" i="113"/>
  <c r="H27" i="113" s="1"/>
  <c r="H28" i="113" l="1"/>
  <c r="H29" i="113"/>
  <c r="H34" i="113" s="1"/>
  <c r="H32" i="113"/>
  <c r="H33" i="113" l="1"/>
  <c r="D216" i="111"/>
  <c r="D214" i="111"/>
  <c r="D222" i="109"/>
  <c r="D165" i="26"/>
  <c r="F216" i="111" s="1"/>
  <c r="H216" i="111" s="1"/>
  <c r="F222" i="109" l="1"/>
  <c r="H222" i="109" s="1"/>
  <c r="D214" i="109"/>
  <c r="H35" i="113" l="1"/>
  <c r="H37" i="113" s="1"/>
  <c r="D247" i="109"/>
  <c r="L275" i="111" l="1"/>
  <c r="G209" i="111" l="1"/>
  <c r="F304" i="111" s="1"/>
  <c r="D319" i="111"/>
  <c r="D318" i="111"/>
  <c r="D317" i="111"/>
  <c r="D316" i="111"/>
  <c r="D315" i="111"/>
  <c r="D314" i="111"/>
  <c r="D313" i="111"/>
  <c r="D312" i="111"/>
  <c r="D308" i="111"/>
  <c r="D307" i="111"/>
  <c r="D306" i="111"/>
  <c r="D305" i="111"/>
  <c r="D304" i="111"/>
  <c r="D303" i="111"/>
  <c r="D302" i="111"/>
  <c r="D301" i="111"/>
  <c r="D300" i="111"/>
  <c r="D296" i="111"/>
  <c r="D295" i="111"/>
  <c r="D293" i="111"/>
  <c r="D292" i="111"/>
  <c r="D291" i="111"/>
  <c r="D290" i="111"/>
  <c r="D289" i="111"/>
  <c r="D288" i="111"/>
  <c r="D287" i="111"/>
  <c r="D286" i="111"/>
  <c r="D285" i="111"/>
  <c r="D284" i="111"/>
  <c r="D283" i="111"/>
  <c r="D280" i="111"/>
  <c r="D279" i="111"/>
  <c r="D278" i="111"/>
  <c r="D277" i="111"/>
  <c r="D276" i="111"/>
  <c r="D275" i="111"/>
  <c r="D274" i="111"/>
  <c r="D273" i="111"/>
  <c r="D272" i="111"/>
  <c r="D271" i="111"/>
  <c r="D269" i="111"/>
  <c r="D268" i="111"/>
  <c r="D267" i="111"/>
  <c r="H248" i="111"/>
  <c r="D247" i="111"/>
  <c r="H246" i="111"/>
  <c r="D245" i="111"/>
  <c r="H244" i="111"/>
  <c r="F241" i="111"/>
  <c r="D241" i="111"/>
  <c r="H239" i="111"/>
  <c r="H236" i="111"/>
  <c r="F276" i="111"/>
  <c r="D235" i="111"/>
  <c r="F275" i="111"/>
  <c r="D234" i="111"/>
  <c r="H229" i="111"/>
  <c r="D228" i="111"/>
  <c r="F227" i="111"/>
  <c r="D227" i="111"/>
  <c r="F226" i="111"/>
  <c r="D226" i="111"/>
  <c r="F225" i="111"/>
  <c r="D225" i="111"/>
  <c r="F224" i="111"/>
  <c r="D224" i="111"/>
  <c r="F223" i="111"/>
  <c r="D223" i="111"/>
  <c r="D222" i="111"/>
  <c r="D221" i="111"/>
  <c r="D220" i="111"/>
  <c r="D219" i="111"/>
  <c r="D218" i="111"/>
  <c r="D217" i="111"/>
  <c r="D215" i="111"/>
  <c r="D213" i="111"/>
  <c r="D212" i="111"/>
  <c r="D211" i="111"/>
  <c r="D210" i="111"/>
  <c r="D209" i="111"/>
  <c r="D208" i="111"/>
  <c r="D207" i="111"/>
  <c r="F293" i="111"/>
  <c r="D206" i="111"/>
  <c r="F292" i="111"/>
  <c r="D205" i="111"/>
  <c r="F291" i="111"/>
  <c r="D204" i="111"/>
  <c r="D203" i="111"/>
  <c r="F289" i="111"/>
  <c r="D202" i="111"/>
  <c r="F288" i="111"/>
  <c r="D201" i="111"/>
  <c r="F287" i="111"/>
  <c r="D200" i="111"/>
  <c r="D199" i="111"/>
  <c r="F285" i="111"/>
  <c r="D198" i="111"/>
  <c r="F284" i="111"/>
  <c r="D197" i="111"/>
  <c r="G207" i="111"/>
  <c r="F309" i="111" s="1"/>
  <c r="D196" i="111"/>
  <c r="D195" i="111"/>
  <c r="D194" i="111"/>
  <c r="D193" i="111"/>
  <c r="D192" i="111"/>
  <c r="D191" i="111"/>
  <c r="G215" i="111"/>
  <c r="D190" i="111"/>
  <c r="D189" i="111"/>
  <c r="D182" i="111"/>
  <c r="D181" i="111"/>
  <c r="F272" i="111"/>
  <c r="D174" i="111"/>
  <c r="D168" i="111"/>
  <c r="D167" i="111"/>
  <c r="D166" i="111"/>
  <c r="D165" i="111"/>
  <c r="D164" i="111"/>
  <c r="D163" i="111"/>
  <c r="D162" i="111"/>
  <c r="D161" i="111"/>
  <c r="D160" i="111"/>
  <c r="D159" i="111"/>
  <c r="G167" i="111"/>
  <c r="D158" i="111"/>
  <c r="D152" i="111"/>
  <c r="D151" i="111"/>
  <c r="D150" i="111"/>
  <c r="D149" i="111"/>
  <c r="D148" i="111"/>
  <c r="D147" i="111"/>
  <c r="D146" i="111"/>
  <c r="D145" i="111"/>
  <c r="D144" i="111"/>
  <c r="D143" i="111"/>
  <c r="F267" i="111"/>
  <c r="D138" i="111"/>
  <c r="G136" i="111"/>
  <c r="H136" i="111" s="1"/>
  <c r="D132" i="111"/>
  <c r="D131" i="111"/>
  <c r="G132" i="111"/>
  <c r="D130" i="111"/>
  <c r="D124" i="111"/>
  <c r="D123" i="111"/>
  <c r="D122" i="111"/>
  <c r="D121" i="111"/>
  <c r="D120" i="111"/>
  <c r="D119" i="111"/>
  <c r="D118" i="111"/>
  <c r="D117" i="111"/>
  <c r="D116" i="111"/>
  <c r="D115" i="111"/>
  <c r="G128" i="111"/>
  <c r="H128" i="111" s="1"/>
  <c r="D114" i="111"/>
  <c r="D108" i="111"/>
  <c r="D107" i="111"/>
  <c r="D106" i="111"/>
  <c r="D105" i="111"/>
  <c r="D104" i="111"/>
  <c r="D103" i="111"/>
  <c r="D102" i="111"/>
  <c r="D101" i="111"/>
  <c r="D100" i="111"/>
  <c r="D99" i="111"/>
  <c r="D92" i="111"/>
  <c r="D91" i="111"/>
  <c r="D90" i="111"/>
  <c r="D89" i="111"/>
  <c r="D88" i="111"/>
  <c r="D82" i="111"/>
  <c r="D81" i="111"/>
  <c r="D80" i="111"/>
  <c r="D79" i="111"/>
  <c r="D78" i="111"/>
  <c r="D77" i="111"/>
  <c r="D76" i="111"/>
  <c r="D75" i="111"/>
  <c r="D74" i="111"/>
  <c r="D73" i="111"/>
  <c r="G86" i="111"/>
  <c r="H86" i="111" s="1"/>
  <c r="D72" i="111"/>
  <c r="D66" i="111"/>
  <c r="D65" i="111"/>
  <c r="D64" i="111"/>
  <c r="D63" i="111"/>
  <c r="D62" i="111"/>
  <c r="D61" i="111"/>
  <c r="D60" i="111"/>
  <c r="D59" i="111"/>
  <c r="D58" i="111"/>
  <c r="D57" i="111"/>
  <c r="D51" i="111"/>
  <c r="D49" i="111"/>
  <c r="G47" i="111"/>
  <c r="H47" i="111" s="1"/>
  <c r="D43" i="111"/>
  <c r="D42" i="111"/>
  <c r="G42" i="111"/>
  <c r="D41" i="111"/>
  <c r="D35" i="111"/>
  <c r="D34" i="111"/>
  <c r="D33" i="111"/>
  <c r="D32" i="111"/>
  <c r="D31" i="111"/>
  <c r="D30" i="111"/>
  <c r="D29" i="111"/>
  <c r="D28" i="111"/>
  <c r="D27" i="111"/>
  <c r="D26" i="111"/>
  <c r="G34" i="111"/>
  <c r="D25" i="111"/>
  <c r="D19" i="111"/>
  <c r="D18" i="111"/>
  <c r="D17" i="111"/>
  <c r="D16" i="111"/>
  <c r="D15" i="111"/>
  <c r="D14" i="111"/>
  <c r="D13" i="111"/>
  <c r="D12" i="111"/>
  <c r="D11" i="111"/>
  <c r="D10" i="111"/>
  <c r="D318" i="109"/>
  <c r="D317" i="109"/>
  <c r="D316" i="109"/>
  <c r="D315" i="109"/>
  <c r="D314" i="109"/>
  <c r="D313" i="109"/>
  <c r="D312" i="109"/>
  <c r="D311" i="109"/>
  <c r="D307" i="109"/>
  <c r="D306" i="109"/>
  <c r="D305" i="109"/>
  <c r="D304" i="109"/>
  <c r="D303" i="109"/>
  <c r="D302" i="109"/>
  <c r="D301" i="109"/>
  <c r="D300" i="109"/>
  <c r="D299" i="109"/>
  <c r="D295" i="109"/>
  <c r="D294" i="109"/>
  <c r="D292" i="109"/>
  <c r="D291" i="109"/>
  <c r="D290" i="109"/>
  <c r="D289" i="109"/>
  <c r="D288" i="109"/>
  <c r="D287" i="109"/>
  <c r="D286" i="109"/>
  <c r="D285" i="109"/>
  <c r="D284" i="109"/>
  <c r="D283" i="109"/>
  <c r="D282" i="109"/>
  <c r="D279" i="109"/>
  <c r="D278" i="109"/>
  <c r="D277" i="109"/>
  <c r="D276" i="109"/>
  <c r="D275" i="109"/>
  <c r="D274" i="109"/>
  <c r="D273" i="109"/>
  <c r="D272" i="109"/>
  <c r="D271" i="109"/>
  <c r="D270" i="109"/>
  <c r="D268" i="109"/>
  <c r="D267" i="109"/>
  <c r="D266" i="109"/>
  <c r="H248" i="109"/>
  <c r="H246" i="109"/>
  <c r="D245" i="109"/>
  <c r="H244" i="109"/>
  <c r="F241" i="109"/>
  <c r="D241" i="109"/>
  <c r="H239" i="109"/>
  <c r="H236" i="109"/>
  <c r="F275" i="109"/>
  <c r="D235" i="109"/>
  <c r="F274" i="109"/>
  <c r="D234" i="109"/>
  <c r="H229" i="109"/>
  <c r="D228" i="109"/>
  <c r="F227" i="109"/>
  <c r="D227" i="109"/>
  <c r="F226" i="109"/>
  <c r="D226" i="109"/>
  <c r="F225" i="109"/>
  <c r="D225" i="109"/>
  <c r="F224" i="109"/>
  <c r="D224" i="109"/>
  <c r="F223" i="109"/>
  <c r="D223" i="109"/>
  <c r="D221" i="109"/>
  <c r="D220" i="109"/>
  <c r="D219" i="109"/>
  <c r="D218" i="109"/>
  <c r="D217" i="109"/>
  <c r="D216" i="109"/>
  <c r="D215" i="109"/>
  <c r="D213" i="109"/>
  <c r="D212" i="109"/>
  <c r="D211" i="109"/>
  <c r="D210" i="109"/>
  <c r="F303" i="109"/>
  <c r="D209" i="109"/>
  <c r="D208" i="109"/>
  <c r="D207" i="109"/>
  <c r="F292" i="109"/>
  <c r="D206" i="109"/>
  <c r="F291" i="109"/>
  <c r="D205" i="109"/>
  <c r="F290" i="109"/>
  <c r="D204" i="109"/>
  <c r="F289" i="109"/>
  <c r="D203" i="109"/>
  <c r="F288" i="109"/>
  <c r="D202" i="109"/>
  <c r="F287" i="109"/>
  <c r="D201" i="109"/>
  <c r="F286" i="109"/>
  <c r="D200" i="109"/>
  <c r="F285" i="109"/>
  <c r="D199" i="109"/>
  <c r="F284" i="109"/>
  <c r="D198" i="109"/>
  <c r="F283" i="109"/>
  <c r="D197" i="109"/>
  <c r="D196" i="109"/>
  <c r="D195" i="109"/>
  <c r="D194" i="109"/>
  <c r="D193" i="109"/>
  <c r="D192" i="109"/>
  <c r="D191" i="109"/>
  <c r="G211" i="109"/>
  <c r="F305" i="109" s="1"/>
  <c r="D190" i="109"/>
  <c r="D189" i="109"/>
  <c r="D182" i="109"/>
  <c r="D181" i="109"/>
  <c r="D174" i="109"/>
  <c r="D168" i="109"/>
  <c r="D167" i="109"/>
  <c r="D166" i="109"/>
  <c r="D165" i="109"/>
  <c r="D164" i="109"/>
  <c r="D163" i="109"/>
  <c r="D162" i="109"/>
  <c r="D161" i="109"/>
  <c r="D160" i="109"/>
  <c r="D159" i="109"/>
  <c r="D158" i="109"/>
  <c r="D152" i="109"/>
  <c r="D151" i="109"/>
  <c r="D150" i="109"/>
  <c r="D149" i="109"/>
  <c r="D148" i="109"/>
  <c r="D147" i="109"/>
  <c r="D146" i="109"/>
  <c r="D145" i="109"/>
  <c r="D144" i="109"/>
  <c r="G156" i="109"/>
  <c r="H156" i="109" s="1"/>
  <c r="D143" i="109"/>
  <c r="F266" i="109"/>
  <c r="D138" i="109"/>
  <c r="G136" i="109"/>
  <c r="H136" i="109" s="1"/>
  <c r="D132" i="109"/>
  <c r="D131" i="109"/>
  <c r="G131" i="109"/>
  <c r="D130" i="109"/>
  <c r="D124" i="109"/>
  <c r="D123" i="109"/>
  <c r="D122" i="109"/>
  <c r="D121" i="109"/>
  <c r="D120" i="109"/>
  <c r="D119" i="109"/>
  <c r="D118" i="109"/>
  <c r="D117" i="109"/>
  <c r="D116" i="109"/>
  <c r="D115" i="109"/>
  <c r="D114" i="109"/>
  <c r="D108" i="109"/>
  <c r="D107" i="109"/>
  <c r="D106" i="109"/>
  <c r="D105" i="109"/>
  <c r="D104" i="109"/>
  <c r="D103" i="109"/>
  <c r="D102" i="109"/>
  <c r="D101" i="109"/>
  <c r="D100" i="109"/>
  <c r="G107" i="109"/>
  <c r="D99" i="109"/>
  <c r="D92" i="109"/>
  <c r="D91" i="109"/>
  <c r="D90" i="109"/>
  <c r="D89" i="109"/>
  <c r="D88" i="109"/>
  <c r="D82" i="109"/>
  <c r="D81" i="109"/>
  <c r="D80" i="109"/>
  <c r="D79" i="109"/>
  <c r="D78" i="109"/>
  <c r="D77" i="109"/>
  <c r="D76" i="109"/>
  <c r="D75" i="109"/>
  <c r="D74" i="109"/>
  <c r="D73" i="109"/>
  <c r="G81" i="109"/>
  <c r="D72" i="109"/>
  <c r="D66" i="109"/>
  <c r="D65" i="109"/>
  <c r="D64" i="109"/>
  <c r="D63" i="109"/>
  <c r="D62" i="109"/>
  <c r="D61" i="109"/>
  <c r="D60" i="109"/>
  <c r="D59" i="109"/>
  <c r="D58" i="109"/>
  <c r="D57" i="109"/>
  <c r="D51" i="109"/>
  <c r="F267" i="109"/>
  <c r="D49" i="109"/>
  <c r="G47" i="109"/>
  <c r="H47" i="109" s="1"/>
  <c r="D43" i="109"/>
  <c r="D42" i="109"/>
  <c r="G43" i="109"/>
  <c r="D41" i="109"/>
  <c r="D35" i="109"/>
  <c r="D34" i="109"/>
  <c r="D33" i="109"/>
  <c r="D32" i="109"/>
  <c r="D31" i="109"/>
  <c r="D30" i="109"/>
  <c r="D29" i="109"/>
  <c r="D28" i="109"/>
  <c r="D27" i="109"/>
  <c r="D26" i="109"/>
  <c r="G39" i="109"/>
  <c r="H39" i="109" s="1"/>
  <c r="D25" i="109"/>
  <c r="D19" i="109"/>
  <c r="D18" i="109"/>
  <c r="D17" i="109"/>
  <c r="D16" i="109"/>
  <c r="D15" i="109"/>
  <c r="D14" i="109"/>
  <c r="D13" i="109"/>
  <c r="D12" i="109"/>
  <c r="D11" i="109"/>
  <c r="D10" i="109"/>
  <c r="D19" i="26"/>
  <c r="D15" i="26"/>
  <c r="F138" i="111" s="1"/>
  <c r="F189" i="111" l="1"/>
  <c r="H189" i="111" s="1"/>
  <c r="F49" i="111"/>
  <c r="H49" i="111" s="1"/>
  <c r="H53" i="111" s="1"/>
  <c r="F49" i="109"/>
  <c r="H49" i="109" s="1"/>
  <c r="H53" i="109" s="1"/>
  <c r="F138" i="109"/>
  <c r="H138" i="109" s="1"/>
  <c r="H140" i="109" s="1"/>
  <c r="F189" i="109"/>
  <c r="H189" i="109" s="1"/>
  <c r="F286" i="111"/>
  <c r="F290" i="111"/>
  <c r="H138" i="111"/>
  <c r="H140" i="111" s="1"/>
  <c r="F269" i="111"/>
  <c r="G18" i="111"/>
  <c r="G16" i="111"/>
  <c r="G14" i="111"/>
  <c r="G12" i="111"/>
  <c r="G23" i="111"/>
  <c r="H23" i="111" s="1"/>
  <c r="G19" i="111"/>
  <c r="G17" i="111"/>
  <c r="G15" i="111"/>
  <c r="G13" i="111"/>
  <c r="G11" i="111"/>
  <c r="F268" i="111"/>
  <c r="G50" i="111"/>
  <c r="H50" i="111" s="1"/>
  <c r="G55" i="111"/>
  <c r="H55" i="111" s="1"/>
  <c r="G51" i="111"/>
  <c r="F271" i="111"/>
  <c r="G70" i="111"/>
  <c r="H70" i="111" s="1"/>
  <c r="G66" i="111"/>
  <c r="G64" i="111"/>
  <c r="G62" i="111"/>
  <c r="G60" i="111"/>
  <c r="G58" i="111"/>
  <c r="G65" i="111"/>
  <c r="G63" i="111"/>
  <c r="G61" i="111"/>
  <c r="G59" i="111"/>
  <c r="G96" i="111"/>
  <c r="H96" i="111" s="1"/>
  <c r="G92" i="111"/>
  <c r="G90" i="111"/>
  <c r="G91" i="111"/>
  <c r="G89" i="111"/>
  <c r="G27" i="111"/>
  <c r="G29" i="111"/>
  <c r="G31" i="111"/>
  <c r="G33" i="111"/>
  <c r="G35" i="111"/>
  <c r="G39" i="111"/>
  <c r="H39" i="111" s="1"/>
  <c r="G43" i="111"/>
  <c r="G73" i="111"/>
  <c r="G75" i="111"/>
  <c r="G77" i="111"/>
  <c r="G79" i="111"/>
  <c r="G81" i="111"/>
  <c r="G112" i="111"/>
  <c r="H112" i="111" s="1"/>
  <c r="G108" i="111"/>
  <c r="G107" i="111"/>
  <c r="G105" i="111"/>
  <c r="G101" i="111"/>
  <c r="G103" i="111"/>
  <c r="G106" i="111"/>
  <c r="G151" i="111"/>
  <c r="G149" i="111"/>
  <c r="G147" i="111"/>
  <c r="G145" i="111"/>
  <c r="G156" i="111"/>
  <c r="H156" i="111" s="1"/>
  <c r="G152" i="111"/>
  <c r="G150" i="111"/>
  <c r="G148" i="111"/>
  <c r="G146" i="111"/>
  <c r="G144" i="111"/>
  <c r="F273" i="111"/>
  <c r="G186" i="111"/>
  <c r="H186" i="111" s="1"/>
  <c r="G182" i="111"/>
  <c r="F295" i="111" s="1"/>
  <c r="G226" i="111"/>
  <c r="F328" i="111" s="1"/>
  <c r="F274" i="111"/>
  <c r="G227" i="111"/>
  <c r="G208" i="111"/>
  <c r="G26" i="111"/>
  <c r="G28" i="111"/>
  <c r="G30" i="111"/>
  <c r="G32" i="111"/>
  <c r="G74" i="111"/>
  <c r="G76" i="111"/>
  <c r="G78" i="111"/>
  <c r="G80" i="111"/>
  <c r="G82" i="111"/>
  <c r="G100" i="111"/>
  <c r="G102" i="111"/>
  <c r="G104" i="111"/>
  <c r="F277" i="111"/>
  <c r="G210" i="111"/>
  <c r="F305" i="111" s="1"/>
  <c r="G194" i="111"/>
  <c r="G242" i="111" s="1"/>
  <c r="H242" i="111" s="1"/>
  <c r="G192" i="111"/>
  <c r="G115" i="111"/>
  <c r="G117" i="111"/>
  <c r="G119" i="111"/>
  <c r="G121" i="111"/>
  <c r="G123" i="111"/>
  <c r="G131" i="111"/>
  <c r="G160" i="111"/>
  <c r="G162" i="111"/>
  <c r="G164" i="111"/>
  <c r="G166" i="111"/>
  <c r="G168" i="111"/>
  <c r="G172" i="111"/>
  <c r="H172" i="111" s="1"/>
  <c r="G177" i="111"/>
  <c r="H177" i="111" s="1"/>
  <c r="F306" i="111"/>
  <c r="G116" i="111"/>
  <c r="G118" i="111"/>
  <c r="G120" i="111"/>
  <c r="G122" i="111"/>
  <c r="G124" i="111"/>
  <c r="G141" i="111"/>
  <c r="H141" i="111" s="1"/>
  <c r="G159" i="111"/>
  <c r="G161" i="111"/>
  <c r="G163" i="111"/>
  <c r="G165" i="111"/>
  <c r="F283" i="111"/>
  <c r="G222" i="111"/>
  <c r="G223" i="111"/>
  <c r="F326" i="111" s="1"/>
  <c r="G212" i="111"/>
  <c r="F307" i="111" s="1"/>
  <c r="H227" i="111"/>
  <c r="F268" i="109"/>
  <c r="G23" i="109"/>
  <c r="H23" i="109" s="1"/>
  <c r="G19" i="109"/>
  <c r="G17" i="109"/>
  <c r="G15" i="109"/>
  <c r="G13" i="109"/>
  <c r="G11" i="109"/>
  <c r="G18" i="109"/>
  <c r="G16" i="109"/>
  <c r="G14" i="109"/>
  <c r="G12" i="109"/>
  <c r="F270" i="109"/>
  <c r="G65" i="109"/>
  <c r="G63" i="109"/>
  <c r="G61" i="109"/>
  <c r="G59" i="109"/>
  <c r="G70" i="109"/>
  <c r="H70" i="109" s="1"/>
  <c r="G66" i="109"/>
  <c r="G64" i="109"/>
  <c r="G62" i="109"/>
  <c r="G60" i="109"/>
  <c r="G58" i="109"/>
  <c r="G92" i="109"/>
  <c r="G26" i="109"/>
  <c r="G28" i="109"/>
  <c r="G30" i="109"/>
  <c r="G32" i="109"/>
  <c r="G34" i="109"/>
  <c r="G42" i="109"/>
  <c r="G50" i="109"/>
  <c r="H50" i="109" s="1"/>
  <c r="G74" i="109"/>
  <c r="G76" i="109"/>
  <c r="G78" i="109"/>
  <c r="G80" i="109"/>
  <c r="G82" i="109"/>
  <c r="G86" i="109"/>
  <c r="H86" i="109" s="1"/>
  <c r="G100" i="109"/>
  <c r="G102" i="109"/>
  <c r="G104" i="109"/>
  <c r="G106" i="109"/>
  <c r="G108" i="109"/>
  <c r="G112" i="109"/>
  <c r="H112" i="109" s="1"/>
  <c r="F272" i="109"/>
  <c r="G186" i="109"/>
  <c r="H186" i="109" s="1"/>
  <c r="G182" i="109"/>
  <c r="G227" i="109"/>
  <c r="H227" i="109" s="1"/>
  <c r="F273" i="109"/>
  <c r="G226" i="109"/>
  <c r="F327" i="109" s="1"/>
  <c r="G208" i="109"/>
  <c r="G27" i="109"/>
  <c r="G29" i="109"/>
  <c r="G31" i="109"/>
  <c r="G33" i="109"/>
  <c r="G35" i="109"/>
  <c r="G51" i="109"/>
  <c r="G55" i="109"/>
  <c r="H55" i="109" s="1"/>
  <c r="G73" i="109"/>
  <c r="G75" i="109"/>
  <c r="G77" i="109"/>
  <c r="G79" i="109"/>
  <c r="G101" i="109"/>
  <c r="G103" i="109"/>
  <c r="G105" i="109"/>
  <c r="G123" i="109"/>
  <c r="G121" i="109"/>
  <c r="G119" i="109"/>
  <c r="G117" i="109"/>
  <c r="G115" i="109"/>
  <c r="G128" i="109"/>
  <c r="H128" i="109" s="1"/>
  <c r="G124" i="109"/>
  <c r="G122" i="109"/>
  <c r="G116" i="109"/>
  <c r="G118" i="109"/>
  <c r="G120" i="109"/>
  <c r="G172" i="109"/>
  <c r="H172" i="109" s="1"/>
  <c r="G168" i="109"/>
  <c r="G166" i="109"/>
  <c r="G164" i="109"/>
  <c r="G162" i="109"/>
  <c r="G160" i="109"/>
  <c r="G167" i="109"/>
  <c r="G165" i="109"/>
  <c r="G163" i="109"/>
  <c r="G161" i="109"/>
  <c r="G159" i="109"/>
  <c r="G177" i="109"/>
  <c r="H177" i="109" s="1"/>
  <c r="F271" i="109"/>
  <c r="F276" i="109"/>
  <c r="G210" i="109"/>
  <c r="F304" i="109" s="1"/>
  <c r="G194" i="109"/>
  <c r="G192" i="109"/>
  <c r="G132" i="109"/>
  <c r="G141" i="109"/>
  <c r="H141" i="109" s="1"/>
  <c r="G145" i="109"/>
  <c r="G147" i="109"/>
  <c r="G149" i="109"/>
  <c r="G151" i="109"/>
  <c r="F282" i="109"/>
  <c r="G223" i="109"/>
  <c r="G212" i="109"/>
  <c r="F306" i="109" s="1"/>
  <c r="G215" i="109"/>
  <c r="G221" i="109"/>
  <c r="G144" i="109"/>
  <c r="G146" i="109"/>
  <c r="G148" i="109"/>
  <c r="G150" i="109"/>
  <c r="G152" i="109"/>
  <c r="G207" i="109"/>
  <c r="F308" i="109" s="1"/>
  <c r="H226" i="111" l="1"/>
  <c r="H223" i="111"/>
  <c r="F302" i="111"/>
  <c r="F301" i="111"/>
  <c r="F314" i="111"/>
  <c r="F318" i="111"/>
  <c r="F315" i="111"/>
  <c r="F319" i="111"/>
  <c r="G228" i="111"/>
  <c r="G224" i="111"/>
  <c r="H224" i="111" s="1"/>
  <c r="G220" i="111"/>
  <c r="G218" i="111"/>
  <c r="G232" i="111"/>
  <c r="H232" i="111" s="1"/>
  <c r="H255" i="111" s="1"/>
  <c r="G225" i="111"/>
  <c r="G221" i="111"/>
  <c r="G219" i="111"/>
  <c r="G217" i="111"/>
  <c r="G213" i="111"/>
  <c r="G195" i="111"/>
  <c r="G193" i="111"/>
  <c r="F303" i="111"/>
  <c r="F300" i="111"/>
  <c r="F316" i="111"/>
  <c r="F313" i="111"/>
  <c r="F317" i="111"/>
  <c r="G241" i="111"/>
  <c r="G89" i="109"/>
  <c r="G90" i="109"/>
  <c r="F312" i="109" s="1"/>
  <c r="G96" i="109"/>
  <c r="H96" i="109" s="1"/>
  <c r="G91" i="109"/>
  <c r="H226" i="109"/>
  <c r="F294" i="109"/>
  <c r="F302" i="109"/>
  <c r="F300" i="109"/>
  <c r="F314" i="109"/>
  <c r="F318" i="109"/>
  <c r="F313" i="109"/>
  <c r="F325" i="109"/>
  <c r="H223" i="109"/>
  <c r="G232" i="109"/>
  <c r="H232" i="109" s="1"/>
  <c r="H255" i="109" s="1"/>
  <c r="G225" i="109"/>
  <c r="G220" i="109"/>
  <c r="G218" i="109"/>
  <c r="G216" i="109"/>
  <c r="G213" i="109"/>
  <c r="G195" i="109"/>
  <c r="G193" i="109"/>
  <c r="G228" i="109"/>
  <c r="G224" i="109"/>
  <c r="H224" i="109" s="1"/>
  <c r="G219" i="109"/>
  <c r="G217" i="109"/>
  <c r="F301" i="109"/>
  <c r="G242" i="109"/>
  <c r="H242" i="109" s="1"/>
  <c r="F316" i="109"/>
  <c r="F299" i="109"/>
  <c r="F315" i="109"/>
  <c r="G241" i="109"/>
  <c r="F317" i="109" l="1"/>
  <c r="F331" i="111"/>
  <c r="F308" i="111"/>
  <c r="F322" i="111"/>
  <c r="F327" i="111"/>
  <c r="H225" i="111"/>
  <c r="F333" i="111"/>
  <c r="G243" i="111"/>
  <c r="H243" i="111" s="1"/>
  <c r="H241" i="111"/>
  <c r="F296" i="111"/>
  <c r="F332" i="111"/>
  <c r="F335" i="111"/>
  <c r="F334" i="109"/>
  <c r="F295" i="109"/>
  <c r="F331" i="109"/>
  <c r="G243" i="109"/>
  <c r="H243" i="109" s="1"/>
  <c r="H241" i="109"/>
  <c r="F332" i="109"/>
  <c r="F330" i="109"/>
  <c r="F307" i="109"/>
  <c r="F321" i="109"/>
  <c r="F326" i="109"/>
  <c r="H225" i="109"/>
  <c r="D29" i="26" l="1"/>
  <c r="D27" i="26"/>
  <c r="D28" i="26"/>
  <c r="D26" i="26"/>
  <c r="D20" i="26"/>
  <c r="F181" i="111" l="1"/>
  <c r="H181" i="111" s="1"/>
  <c r="H184" i="111" s="1"/>
  <c r="F181" i="109"/>
  <c r="H181" i="109" s="1"/>
  <c r="H184" i="109" s="1"/>
  <c r="D174" i="26" l="1"/>
  <c r="D88" i="26" l="1"/>
  <c r="D16" i="26"/>
  <c r="D17" i="26"/>
  <c r="D18" i="26"/>
  <c r="D21" i="26"/>
  <c r="D22" i="26"/>
  <c r="D23" i="26"/>
  <c r="D24" i="26"/>
  <c r="D25" i="26"/>
  <c r="D49" i="26"/>
  <c r="D54" i="26"/>
  <c r="D53" i="26"/>
  <c r="D52" i="26"/>
  <c r="D47" i="26"/>
  <c r="D50" i="26"/>
  <c r="D48" i="26"/>
  <c r="D51" i="26"/>
  <c r="D62" i="26"/>
  <c r="F158" i="111" l="1"/>
  <c r="H158" i="111" s="1"/>
  <c r="H170" i="111" s="1"/>
  <c r="F143" i="111"/>
  <c r="H143" i="111" s="1"/>
  <c r="H154" i="111" s="1"/>
  <c r="F88" i="111"/>
  <c r="H88" i="111" s="1"/>
  <c r="H94" i="111" s="1"/>
  <c r="F57" i="111"/>
  <c r="H57" i="111" s="1"/>
  <c r="H68" i="111" s="1"/>
  <c r="F158" i="109"/>
  <c r="H158" i="109" s="1"/>
  <c r="H170" i="109" s="1"/>
  <c r="F72" i="109"/>
  <c r="H72" i="109" s="1"/>
  <c r="H84" i="109" s="1"/>
  <c r="F57" i="109"/>
  <c r="H57" i="109" s="1"/>
  <c r="H68" i="109" s="1"/>
  <c r="F72" i="111"/>
  <c r="H72" i="111" s="1"/>
  <c r="H84" i="111" s="1"/>
  <c r="F143" i="109"/>
  <c r="H143" i="109" s="1"/>
  <c r="H154" i="109" s="1"/>
  <c r="F88" i="109"/>
  <c r="H88" i="109" s="1"/>
  <c r="H94" i="109" s="1"/>
  <c r="F234" i="111"/>
  <c r="H234" i="111" s="1"/>
  <c r="F234" i="109"/>
  <c r="H234" i="109" s="1"/>
  <c r="F114" i="111"/>
  <c r="H114" i="111" s="1"/>
  <c r="H126" i="111" s="1"/>
  <c r="F99" i="111"/>
  <c r="H99" i="111" s="1"/>
  <c r="H110" i="111" s="1"/>
  <c r="F25" i="111"/>
  <c r="H25" i="111" s="1"/>
  <c r="H37" i="111" s="1"/>
  <c r="F10" i="111"/>
  <c r="H10" i="111" s="1"/>
  <c r="H21" i="111" s="1"/>
  <c r="F130" i="111"/>
  <c r="H130" i="111" s="1"/>
  <c r="H134" i="111" s="1"/>
  <c r="F130" i="109"/>
  <c r="H130" i="109" s="1"/>
  <c r="H134" i="109" s="1"/>
  <c r="F25" i="109"/>
  <c r="H25" i="109" s="1"/>
  <c r="H37" i="109" s="1"/>
  <c r="F10" i="109"/>
  <c r="H10" i="109" s="1"/>
  <c r="H21" i="109" s="1"/>
  <c r="F41" i="109"/>
  <c r="H41" i="109" s="1"/>
  <c r="H45" i="109" s="1"/>
  <c r="F99" i="109"/>
  <c r="H99" i="109" s="1"/>
  <c r="H110" i="109" s="1"/>
  <c r="F41" i="111"/>
  <c r="H41" i="111" s="1"/>
  <c r="H45" i="111" s="1"/>
  <c r="F114" i="109"/>
  <c r="H114" i="109" s="1"/>
  <c r="H126" i="109" s="1"/>
  <c r="F190" i="111"/>
  <c r="H190" i="111" s="1"/>
  <c r="F190" i="109"/>
  <c r="H190" i="109" s="1"/>
  <c r="F235" i="111"/>
  <c r="H235" i="111" s="1"/>
  <c r="F235" i="109"/>
  <c r="H235" i="109" s="1"/>
  <c r="H237" i="109" s="1"/>
  <c r="F174" i="111"/>
  <c r="H174" i="111" s="1"/>
  <c r="H176" i="111" s="1"/>
  <c r="F174" i="109"/>
  <c r="H174" i="109" s="1"/>
  <c r="H176" i="109" s="1"/>
  <c r="F191" i="111"/>
  <c r="H191" i="111" s="1"/>
  <c r="F191" i="109"/>
  <c r="H191" i="109" s="1"/>
  <c r="D105" i="26"/>
  <c r="H237" i="111" l="1"/>
  <c r="H230" i="111"/>
  <c r="H253" i="111"/>
  <c r="H230" i="109"/>
  <c r="H253" i="109" s="1"/>
  <c r="D104" i="26"/>
  <c r="D38" i="26" l="1"/>
  <c r="D155" i="26" l="1"/>
  <c r="F247" i="109" l="1"/>
  <c r="H247" i="109" s="1"/>
  <c r="F247" i="111"/>
  <c r="H247" i="111" s="1"/>
  <c r="D140" i="26"/>
  <c r="F195" i="111" l="1"/>
  <c r="H195" i="111" s="1"/>
  <c r="F195" i="109"/>
  <c r="H195" i="109" s="1"/>
  <c r="E139" i="26"/>
  <c r="D81" i="26" l="1"/>
  <c r="E182" i="26"/>
  <c r="E183" i="26"/>
  <c r="E184" i="26"/>
  <c r="E185" i="26"/>
  <c r="E186" i="26"/>
  <c r="E187" i="26"/>
  <c r="E188" i="26"/>
  <c r="E189" i="26"/>
  <c r="E190" i="26"/>
  <c r="E191" i="26"/>
  <c r="E192" i="26"/>
  <c r="E181" i="26"/>
  <c r="D177" i="26"/>
  <c r="D178" i="26"/>
  <c r="D179" i="26"/>
  <c r="D193" i="26"/>
  <c r="D176" i="26"/>
  <c r="D123" i="26"/>
  <c r="D172" i="26"/>
  <c r="D173" i="26"/>
  <c r="D161" i="26"/>
  <c r="D162" i="26"/>
  <c r="D163" i="26"/>
  <c r="D166" i="26"/>
  <c r="D167" i="26"/>
  <c r="D168" i="26"/>
  <c r="D169" i="26"/>
  <c r="D160" i="26"/>
  <c r="D159" i="26"/>
  <c r="D158" i="26"/>
  <c r="D157" i="26"/>
  <c r="D149" i="26"/>
  <c r="D150" i="26"/>
  <c r="D151" i="26"/>
  <c r="D152" i="26"/>
  <c r="D153" i="26"/>
  <c r="D154" i="26"/>
  <c r="D64" i="26"/>
  <c r="D65" i="26"/>
  <c r="D115" i="26"/>
  <c r="D114" i="26"/>
  <c r="D113" i="26"/>
  <c r="D112" i="26"/>
  <c r="D111" i="26"/>
  <c r="D110" i="26"/>
  <c r="D109" i="26"/>
  <c r="D108" i="26"/>
  <c r="D92" i="26"/>
  <c r="D93" i="26"/>
  <c r="D94" i="26"/>
  <c r="D95" i="26"/>
  <c r="D96" i="26"/>
  <c r="D97" i="26"/>
  <c r="D98" i="26"/>
  <c r="D99" i="26"/>
  <c r="D100" i="26"/>
  <c r="D101" i="26"/>
  <c r="D102" i="26"/>
  <c r="D103" i="26"/>
  <c r="D82" i="26"/>
  <c r="D79" i="26"/>
  <c r="D80" i="26"/>
  <c r="D76" i="26"/>
  <c r="D75" i="26"/>
  <c r="D74" i="26"/>
  <c r="D73" i="26"/>
  <c r="D70" i="26"/>
  <c r="D71" i="26"/>
  <c r="D10" i="26"/>
  <c r="D40" i="26"/>
  <c r="D41" i="26"/>
  <c r="D42" i="26"/>
  <c r="D43" i="26"/>
  <c r="D44" i="26"/>
  <c r="D33" i="26"/>
  <c r="D8" i="26"/>
  <c r="D9" i="26"/>
  <c r="D171" i="26"/>
  <c r="D175" i="26"/>
  <c r="D34" i="26"/>
  <c r="D35" i="26"/>
  <c r="D36" i="26"/>
  <c r="D37" i="26"/>
  <c r="D32" i="26"/>
  <c r="D39" i="26"/>
  <c r="D14" i="26"/>
  <c r="D7" i="26"/>
  <c r="D6" i="26"/>
  <c r="D148" i="26"/>
  <c r="D58" i="26"/>
  <c r="D57" i="26"/>
  <c r="D59" i="26"/>
  <c r="D60" i="26"/>
  <c r="D61" i="26"/>
  <c r="D63" i="26"/>
  <c r="D66" i="26"/>
  <c r="D67" i="26"/>
  <c r="D78" i="26"/>
  <c r="D84" i="26"/>
  <c r="D85" i="26"/>
  <c r="D86" i="26"/>
  <c r="D91" i="26"/>
  <c r="D118" i="26"/>
  <c r="D119" i="26"/>
  <c r="D120" i="26"/>
  <c r="D121" i="26"/>
  <c r="D122" i="26"/>
  <c r="D124" i="26"/>
  <c r="D125" i="26"/>
  <c r="D126" i="26"/>
  <c r="D127" i="26"/>
  <c r="D128" i="26"/>
  <c r="D139" i="26"/>
  <c r="D143" i="26"/>
  <c r="D145" i="26"/>
  <c r="D146" i="26"/>
  <c r="D147" i="26"/>
  <c r="F205" i="111" l="1"/>
  <c r="H205" i="111" s="1"/>
  <c r="F205" i="109"/>
  <c r="H205" i="109" s="1"/>
  <c r="F207" i="111"/>
  <c r="H207" i="111" s="1"/>
  <c r="F207" i="109"/>
  <c r="H207" i="109" s="1"/>
  <c r="F104" i="111"/>
  <c r="H104" i="111" s="1"/>
  <c r="F15" i="111"/>
  <c r="H15" i="111" s="1"/>
  <c r="F120" i="111"/>
  <c r="H120" i="111" s="1"/>
  <c r="F62" i="111"/>
  <c r="H62" i="111" s="1"/>
  <c r="F31" i="111"/>
  <c r="H31" i="111" s="1"/>
  <c r="F148" i="111"/>
  <c r="H148" i="111" s="1"/>
  <c r="F78" i="111"/>
  <c r="H78" i="111" s="1"/>
  <c r="F164" i="111"/>
  <c r="H164" i="111" s="1"/>
  <c r="F164" i="109"/>
  <c r="H164" i="109" s="1"/>
  <c r="F104" i="109"/>
  <c r="H104" i="109" s="1"/>
  <c r="F31" i="109"/>
  <c r="H31" i="109" s="1"/>
  <c r="F148" i="109"/>
  <c r="H148" i="109" s="1"/>
  <c r="F120" i="109"/>
  <c r="H120" i="109" s="1"/>
  <c r="F62" i="109"/>
  <c r="H62" i="109" s="1"/>
  <c r="F15" i="109"/>
  <c r="H15" i="109" s="1"/>
  <c r="F78" i="109"/>
  <c r="H78" i="109" s="1"/>
  <c r="F204" i="111"/>
  <c r="H204" i="111" s="1"/>
  <c r="F204" i="109"/>
  <c r="H204" i="109" s="1"/>
  <c r="F219" i="111"/>
  <c r="H219" i="111" s="1"/>
  <c r="F218" i="109"/>
  <c r="H218" i="109" s="1"/>
  <c r="F214" i="111"/>
  <c r="H214" i="111" s="1"/>
  <c r="F214" i="109"/>
  <c r="H214" i="109" s="1"/>
  <c r="F209" i="111"/>
  <c r="H209" i="111" s="1"/>
  <c r="F209" i="109"/>
  <c r="H209" i="109" s="1"/>
  <c r="F208" i="111"/>
  <c r="H208" i="111" s="1"/>
  <c r="F74" i="111"/>
  <c r="H74" i="111" s="1"/>
  <c r="F160" i="109"/>
  <c r="H160" i="109" s="1"/>
  <c r="F74" i="109"/>
  <c r="H74" i="109" s="1"/>
  <c r="F160" i="111"/>
  <c r="H160" i="111" s="1"/>
  <c r="F208" i="109"/>
  <c r="H208" i="109" s="1"/>
  <c r="F145" i="111"/>
  <c r="H145" i="111" s="1"/>
  <c r="F90" i="111"/>
  <c r="H90" i="111" s="1"/>
  <c r="F75" i="111"/>
  <c r="H75" i="111" s="1"/>
  <c r="F161" i="111"/>
  <c r="H161" i="111" s="1"/>
  <c r="F132" i="111"/>
  <c r="H132" i="111" s="1"/>
  <c r="F101" i="111"/>
  <c r="H101" i="111" s="1"/>
  <c r="F43" i="111"/>
  <c r="H43" i="111" s="1"/>
  <c r="F12" i="111"/>
  <c r="H12" i="111" s="1"/>
  <c r="F117" i="111"/>
  <c r="H117" i="111" s="1"/>
  <c r="F145" i="109"/>
  <c r="H145" i="109" s="1"/>
  <c r="F117" i="109"/>
  <c r="H117" i="109" s="1"/>
  <c r="F59" i="109"/>
  <c r="H59" i="109" s="1"/>
  <c r="F43" i="109"/>
  <c r="H43" i="109" s="1"/>
  <c r="F12" i="109"/>
  <c r="H12" i="109" s="1"/>
  <c r="F59" i="111"/>
  <c r="H59" i="111" s="1"/>
  <c r="F28" i="111"/>
  <c r="H28" i="111" s="1"/>
  <c r="F90" i="109"/>
  <c r="H90" i="109" s="1"/>
  <c r="F75" i="109"/>
  <c r="H75" i="109" s="1"/>
  <c r="F28" i="109"/>
  <c r="H28" i="109" s="1"/>
  <c r="F161" i="109"/>
  <c r="H161" i="109" s="1"/>
  <c r="F101" i="109"/>
  <c r="H101" i="109" s="1"/>
  <c r="F132" i="109"/>
  <c r="H132" i="109" s="1"/>
  <c r="F149" i="111"/>
  <c r="H149" i="111" s="1"/>
  <c r="F79" i="111"/>
  <c r="H79" i="111" s="1"/>
  <c r="F165" i="111"/>
  <c r="H165" i="111" s="1"/>
  <c r="F105" i="111"/>
  <c r="H105" i="111" s="1"/>
  <c r="F16" i="111"/>
  <c r="H16" i="111" s="1"/>
  <c r="F149" i="109"/>
  <c r="H149" i="109" s="1"/>
  <c r="F121" i="109"/>
  <c r="H121" i="109" s="1"/>
  <c r="F63" i="109"/>
  <c r="H63" i="109" s="1"/>
  <c r="F16" i="109"/>
  <c r="H16" i="109" s="1"/>
  <c r="F63" i="111"/>
  <c r="H63" i="111" s="1"/>
  <c r="F79" i="109"/>
  <c r="H79" i="109" s="1"/>
  <c r="F32" i="109"/>
  <c r="H32" i="109" s="1"/>
  <c r="F121" i="111"/>
  <c r="H121" i="111" s="1"/>
  <c r="F165" i="109"/>
  <c r="H165" i="109" s="1"/>
  <c r="F105" i="109"/>
  <c r="H105" i="109" s="1"/>
  <c r="F32" i="111"/>
  <c r="H32" i="111" s="1"/>
  <c r="F193" i="111"/>
  <c r="H193" i="111" s="1"/>
  <c r="F193" i="109"/>
  <c r="H193" i="109" s="1"/>
  <c r="F201" i="111"/>
  <c r="H201" i="111" s="1"/>
  <c r="F201" i="109"/>
  <c r="H201" i="109" s="1"/>
  <c r="F222" i="111"/>
  <c r="H222" i="111" s="1"/>
  <c r="F221" i="109"/>
  <c r="H221" i="109" s="1"/>
  <c r="F192" i="111"/>
  <c r="H192" i="111" s="1"/>
  <c r="F192" i="109"/>
  <c r="H192" i="109" s="1"/>
  <c r="F200" i="111"/>
  <c r="H200" i="111" s="1"/>
  <c r="F200" i="109"/>
  <c r="H200" i="109" s="1"/>
  <c r="F196" i="109"/>
  <c r="H196" i="109" s="1"/>
  <c r="F196" i="111"/>
  <c r="H196" i="111" s="1"/>
  <c r="F108" i="111"/>
  <c r="H108" i="111" s="1"/>
  <c r="F19" i="111"/>
  <c r="H19" i="111" s="1"/>
  <c r="F124" i="111"/>
  <c r="H124" i="111" s="1"/>
  <c r="F66" i="111"/>
  <c r="H66" i="111" s="1"/>
  <c r="F51" i="111"/>
  <c r="H51" i="111" s="1"/>
  <c r="H54" i="111" s="1"/>
  <c r="F35" i="111"/>
  <c r="H35" i="111" s="1"/>
  <c r="F152" i="111"/>
  <c r="H152" i="111" s="1"/>
  <c r="F82" i="111"/>
  <c r="H82" i="111" s="1"/>
  <c r="F168" i="109"/>
  <c r="H168" i="109" s="1"/>
  <c r="F108" i="109"/>
  <c r="H108" i="109" s="1"/>
  <c r="F82" i="109"/>
  <c r="H82" i="109" s="1"/>
  <c r="F35" i="109"/>
  <c r="H35" i="109" s="1"/>
  <c r="F168" i="111"/>
  <c r="H168" i="111" s="1"/>
  <c r="F152" i="109"/>
  <c r="H152" i="109" s="1"/>
  <c r="F124" i="109"/>
  <c r="H124" i="109" s="1"/>
  <c r="F66" i="109"/>
  <c r="H66" i="109" s="1"/>
  <c r="F51" i="109"/>
  <c r="H51" i="109" s="1"/>
  <c r="H54" i="109" s="1"/>
  <c r="F19" i="109"/>
  <c r="H19" i="109" s="1"/>
  <c r="F199" i="111"/>
  <c r="H199" i="111" s="1"/>
  <c r="F199" i="109"/>
  <c r="H199" i="109" s="1"/>
  <c r="F198" i="111"/>
  <c r="H198" i="111" s="1"/>
  <c r="F198" i="109"/>
  <c r="H198" i="109" s="1"/>
  <c r="F213" i="111"/>
  <c r="H213" i="111" s="1"/>
  <c r="F213" i="109"/>
  <c r="H213" i="109" s="1"/>
  <c r="F211" i="111"/>
  <c r="H211" i="111" s="1"/>
  <c r="F211" i="109"/>
  <c r="H211" i="109" s="1"/>
  <c r="F116" i="111"/>
  <c r="H116" i="111" s="1"/>
  <c r="F27" i="111"/>
  <c r="H27" i="111" s="1"/>
  <c r="F27" i="109"/>
  <c r="H27" i="109" s="1"/>
  <c r="F116" i="109"/>
  <c r="H116" i="109" s="1"/>
  <c r="F102" i="111"/>
  <c r="H102" i="111" s="1"/>
  <c r="F13" i="111"/>
  <c r="H13" i="111" s="1"/>
  <c r="F118" i="111"/>
  <c r="H118" i="111" s="1"/>
  <c r="F60" i="111"/>
  <c r="H60" i="111" s="1"/>
  <c r="F29" i="111"/>
  <c r="H29" i="111" s="1"/>
  <c r="F146" i="111"/>
  <c r="H146" i="111" s="1"/>
  <c r="F76" i="111"/>
  <c r="H76" i="111" s="1"/>
  <c r="F162" i="109"/>
  <c r="H162" i="109" s="1"/>
  <c r="F102" i="109"/>
  <c r="H102" i="109" s="1"/>
  <c r="F162" i="111"/>
  <c r="H162" i="111" s="1"/>
  <c r="F76" i="109"/>
  <c r="H76" i="109" s="1"/>
  <c r="F29" i="109"/>
  <c r="H29" i="109" s="1"/>
  <c r="F146" i="109"/>
  <c r="H146" i="109" s="1"/>
  <c r="F118" i="109"/>
  <c r="H118" i="109" s="1"/>
  <c r="F60" i="109"/>
  <c r="H60" i="109" s="1"/>
  <c r="F13" i="109"/>
  <c r="H13" i="109" s="1"/>
  <c r="F106" i="111"/>
  <c r="H106" i="111" s="1"/>
  <c r="F17" i="111"/>
  <c r="H17" i="111" s="1"/>
  <c r="F122" i="111"/>
  <c r="H122" i="111" s="1"/>
  <c r="F64" i="111"/>
  <c r="H64" i="111" s="1"/>
  <c r="F33" i="111"/>
  <c r="H33" i="111" s="1"/>
  <c r="F150" i="111"/>
  <c r="H150" i="111" s="1"/>
  <c r="F91" i="111"/>
  <c r="H91" i="111" s="1"/>
  <c r="F80" i="111"/>
  <c r="H80" i="111" s="1"/>
  <c r="F166" i="109"/>
  <c r="H166" i="109" s="1"/>
  <c r="F106" i="109"/>
  <c r="H106" i="109" s="1"/>
  <c r="F166" i="111"/>
  <c r="H166" i="111" s="1"/>
  <c r="F91" i="109"/>
  <c r="H91" i="109" s="1"/>
  <c r="F80" i="109"/>
  <c r="H80" i="109" s="1"/>
  <c r="F150" i="109"/>
  <c r="H150" i="109" s="1"/>
  <c r="F122" i="109"/>
  <c r="H122" i="109" s="1"/>
  <c r="F64" i="109"/>
  <c r="H64" i="109" s="1"/>
  <c r="F17" i="109"/>
  <c r="H17" i="109" s="1"/>
  <c r="F33" i="109"/>
  <c r="H33" i="109" s="1"/>
  <c r="F217" i="111"/>
  <c r="H217" i="111" s="1"/>
  <c r="F216" i="109"/>
  <c r="H216" i="109" s="1"/>
  <c r="F218" i="111"/>
  <c r="H218" i="111" s="1"/>
  <c r="F217" i="109"/>
  <c r="H217" i="109" s="1"/>
  <c r="F221" i="111"/>
  <c r="H221" i="111" s="1"/>
  <c r="F220" i="109"/>
  <c r="H220" i="109" s="1"/>
  <c r="F220" i="111"/>
  <c r="H220" i="111" s="1"/>
  <c r="F219" i="109"/>
  <c r="H219" i="109" s="1"/>
  <c r="F215" i="111"/>
  <c r="H215" i="111" s="1"/>
  <c r="F182" i="111"/>
  <c r="H182" i="111" s="1"/>
  <c r="H185" i="111" s="1"/>
  <c r="F215" i="109"/>
  <c r="H215" i="109" s="1"/>
  <c r="F182" i="109"/>
  <c r="H182" i="109" s="1"/>
  <c r="H185" i="109" s="1"/>
  <c r="F131" i="111"/>
  <c r="H131" i="111" s="1"/>
  <c r="H135" i="111" s="1"/>
  <c r="F100" i="111"/>
  <c r="H100" i="111" s="1"/>
  <c r="F42" i="111"/>
  <c r="H42" i="111" s="1"/>
  <c r="F11" i="111"/>
  <c r="H11" i="111" s="1"/>
  <c r="F26" i="111"/>
  <c r="H26" i="111" s="1"/>
  <c r="F115" i="109"/>
  <c r="H115" i="109" s="1"/>
  <c r="F100" i="109"/>
  <c r="H100" i="109" s="1"/>
  <c r="F26" i="109"/>
  <c r="H26" i="109" s="1"/>
  <c r="F131" i="109"/>
  <c r="H131" i="109" s="1"/>
  <c r="F115" i="111"/>
  <c r="H115" i="111" s="1"/>
  <c r="F42" i="109"/>
  <c r="H42" i="109" s="1"/>
  <c r="H46" i="109" s="1"/>
  <c r="F11" i="109"/>
  <c r="H11" i="109" s="1"/>
  <c r="F203" i="111"/>
  <c r="H203" i="111" s="1"/>
  <c r="F203" i="109"/>
  <c r="H203" i="109" s="1"/>
  <c r="F245" i="111"/>
  <c r="H245" i="111" s="1"/>
  <c r="H250" i="111" s="1"/>
  <c r="F245" i="109"/>
  <c r="H245" i="109" s="1"/>
  <c r="H250" i="109" s="1"/>
  <c r="F206" i="111"/>
  <c r="H206" i="111" s="1"/>
  <c r="F206" i="109"/>
  <c r="H206" i="109" s="1"/>
  <c r="F202" i="111"/>
  <c r="H202" i="111" s="1"/>
  <c r="F202" i="109"/>
  <c r="H202" i="109" s="1"/>
  <c r="F197" i="111"/>
  <c r="H197" i="111" s="1"/>
  <c r="F197" i="109"/>
  <c r="H197" i="109" s="1"/>
  <c r="F212" i="111"/>
  <c r="H212" i="111" s="1"/>
  <c r="F212" i="109"/>
  <c r="H212" i="109" s="1"/>
  <c r="F210" i="111"/>
  <c r="H210" i="111" s="1"/>
  <c r="F210" i="109"/>
  <c r="H210" i="109" s="1"/>
  <c r="F73" i="111"/>
  <c r="H73" i="111" s="1"/>
  <c r="F159" i="111"/>
  <c r="H159" i="111" s="1"/>
  <c r="F58" i="111"/>
  <c r="H58" i="111" s="1"/>
  <c r="F144" i="111"/>
  <c r="H144" i="111" s="1"/>
  <c r="F89" i="111"/>
  <c r="H89" i="111" s="1"/>
  <c r="F73" i="109"/>
  <c r="H73" i="109" s="1"/>
  <c r="F159" i="109"/>
  <c r="H159" i="109" s="1"/>
  <c r="F144" i="109"/>
  <c r="H144" i="109" s="1"/>
  <c r="F58" i="109"/>
  <c r="H58" i="109" s="1"/>
  <c r="F89" i="109"/>
  <c r="H89" i="109" s="1"/>
  <c r="F147" i="111"/>
  <c r="H147" i="111" s="1"/>
  <c r="F77" i="111"/>
  <c r="H77" i="111" s="1"/>
  <c r="F163" i="111"/>
  <c r="H163" i="111" s="1"/>
  <c r="F103" i="111"/>
  <c r="H103" i="111" s="1"/>
  <c r="F14" i="111"/>
  <c r="H14" i="111" s="1"/>
  <c r="F147" i="109"/>
  <c r="H147" i="109" s="1"/>
  <c r="F119" i="109"/>
  <c r="H119" i="109" s="1"/>
  <c r="F61" i="109"/>
  <c r="H61" i="109" s="1"/>
  <c r="F14" i="109"/>
  <c r="H14" i="109" s="1"/>
  <c r="F30" i="109"/>
  <c r="H30" i="109" s="1"/>
  <c r="F119" i="111"/>
  <c r="H119" i="111" s="1"/>
  <c r="F77" i="109"/>
  <c r="H77" i="109" s="1"/>
  <c r="F61" i="111"/>
  <c r="H61" i="111" s="1"/>
  <c r="F30" i="111"/>
  <c r="H30" i="111" s="1"/>
  <c r="F163" i="109"/>
  <c r="H163" i="109" s="1"/>
  <c r="F103" i="109"/>
  <c r="H103" i="109" s="1"/>
  <c r="F151" i="111"/>
  <c r="H151" i="111" s="1"/>
  <c r="F92" i="111"/>
  <c r="H92" i="111" s="1"/>
  <c r="F81" i="111"/>
  <c r="H81" i="111" s="1"/>
  <c r="F167" i="111"/>
  <c r="H167" i="111" s="1"/>
  <c r="F107" i="111"/>
  <c r="H107" i="111" s="1"/>
  <c r="F18" i="111"/>
  <c r="H18" i="111" s="1"/>
  <c r="F65" i="111"/>
  <c r="H65" i="111" s="1"/>
  <c r="F34" i="111"/>
  <c r="H34" i="111" s="1"/>
  <c r="F151" i="109"/>
  <c r="H151" i="109" s="1"/>
  <c r="F123" i="109"/>
  <c r="H123" i="109" s="1"/>
  <c r="F65" i="109"/>
  <c r="H65" i="109" s="1"/>
  <c r="F18" i="109"/>
  <c r="H18" i="109" s="1"/>
  <c r="F92" i="109"/>
  <c r="H92" i="109" s="1"/>
  <c r="F81" i="109"/>
  <c r="H81" i="109" s="1"/>
  <c r="F34" i="109"/>
  <c r="H34" i="109" s="1"/>
  <c r="F123" i="111"/>
  <c r="H123" i="111" s="1"/>
  <c r="F167" i="109"/>
  <c r="H167" i="109" s="1"/>
  <c r="F107" i="109"/>
  <c r="H107" i="109" s="1"/>
  <c r="F194" i="111"/>
  <c r="H194" i="111" s="1"/>
  <c r="F194" i="109"/>
  <c r="H194" i="109" s="1"/>
  <c r="F228" i="111"/>
  <c r="H228" i="111" s="1"/>
  <c r="F228" i="109"/>
  <c r="H228" i="109" s="1"/>
  <c r="H111" i="111" l="1"/>
  <c r="H46" i="111"/>
  <c r="H38" i="111"/>
  <c r="H155" i="109"/>
  <c r="H171" i="109"/>
  <c r="H69" i="111"/>
  <c r="H135" i="109"/>
  <c r="H111" i="109"/>
  <c r="H231" i="111"/>
  <c r="H127" i="111"/>
  <c r="H85" i="111"/>
  <c r="H95" i="109"/>
  <c r="H95" i="111"/>
  <c r="H171" i="111"/>
  <c r="H22" i="109"/>
  <c r="H127" i="109"/>
  <c r="H22" i="111"/>
  <c r="H38" i="109"/>
  <c r="H231" i="109"/>
  <c r="H69" i="109"/>
  <c r="H155" i="111"/>
  <c r="H85" i="109"/>
  <c r="H254" i="111" l="1"/>
  <c r="H256" i="111" s="1"/>
  <c r="H258" i="111" s="1"/>
  <c r="H254" i="109"/>
  <c r="H256" i="109" s="1"/>
  <c r="H258" i="109" s="1"/>
</calcChain>
</file>

<file path=xl/sharedStrings.xml><?xml version="1.0" encoding="utf-8"?>
<sst xmlns="http://schemas.openxmlformats.org/spreadsheetml/2006/main" count="1617" uniqueCount="473">
  <si>
    <t>Наименование населенного пункта</t>
  </si>
  <si>
    <t>Наименование оборудования</t>
  </si>
  <si>
    <t>Марка оборудования</t>
  </si>
  <si>
    <t>Кол-во</t>
  </si>
  <si>
    <t>Сумма (без НДС), руб.</t>
  </si>
  <si>
    <t>Модернизация учета</t>
  </si>
  <si>
    <t xml:space="preserve">Однофазный прибор учета </t>
  </si>
  <si>
    <t>шт.</t>
  </si>
  <si>
    <t>м.</t>
  </si>
  <si>
    <t>Скрепа</t>
  </si>
  <si>
    <t>СП</t>
  </si>
  <si>
    <t>Ед.   Изм.</t>
  </si>
  <si>
    <t>Провод СИП4 2х16</t>
  </si>
  <si>
    <t>Анкерный зажим</t>
  </si>
  <si>
    <t>Крюк-болт  (Анкерный крюк)</t>
  </si>
  <si>
    <t xml:space="preserve">Монтажная стальная лента из нержавеющей стали </t>
  </si>
  <si>
    <t xml:space="preserve">Комплект для крепления </t>
  </si>
  <si>
    <t>Стоимость ед. оборудования, материалов, руб. без НДС</t>
  </si>
  <si>
    <t>Удаленный дисплей</t>
  </si>
  <si>
    <t>1. Физические лица</t>
  </si>
  <si>
    <t>1.1. Однофазные приборы учета</t>
  </si>
  <si>
    <t xml:space="preserve">Трехфазные счетчики </t>
  </si>
  <si>
    <t>Провод СИП4 4х25</t>
  </si>
  <si>
    <t xml:space="preserve">Гофра </t>
  </si>
  <si>
    <t xml:space="preserve">Трехфазные счетчики полукосвенного включения активно-реактивные  </t>
  </si>
  <si>
    <t>ИК (испытательная коробка "ЛИМГ")</t>
  </si>
  <si>
    <t>2. Юридические лица</t>
  </si>
  <si>
    <t>2.1. Однофазные приборы учета</t>
  </si>
  <si>
    <t xml:space="preserve">Трехфазные счетчики полукосвенного включения </t>
  </si>
  <si>
    <t>3. Трансформаторные подстанции 6-10/0,4 кВ</t>
  </si>
  <si>
    <t>3.1 Трансформаторные подстанции 6-10/0,4 кВ ОАО «ДРСК»</t>
  </si>
  <si>
    <t xml:space="preserve">Маршрутизатор </t>
  </si>
  <si>
    <t>Ограничитель импульсных напряжений</t>
  </si>
  <si>
    <t>Шкаф ТП 1,2 мм</t>
  </si>
  <si>
    <t>Трансформаторы тока 100/5   кл.0,5S</t>
  </si>
  <si>
    <t>Трансформаторы тока 150/5   кл.0,5S</t>
  </si>
  <si>
    <t>Трансформаторы тока 200/5   кл.0,5S</t>
  </si>
  <si>
    <t>Трансформаторы тока 300/5   кл.0,5S</t>
  </si>
  <si>
    <t>Трансформаторы тока 400/5   кл.0,5S</t>
  </si>
  <si>
    <t>Трансформаторы тока 600/5  кл.0,5S</t>
  </si>
  <si>
    <t>Трансформаторы тока 800/5  кл.0,5S</t>
  </si>
  <si>
    <t>Трансформаторы тока 1500/5  кл.0,5S</t>
  </si>
  <si>
    <t>Розетка однофазная с замком крепления на DIN-рейку</t>
  </si>
  <si>
    <t>DIN-рейка оцинкованная</t>
  </si>
  <si>
    <t>Замок навесной</t>
  </si>
  <si>
    <t xml:space="preserve">Комплект креплений для установки ШУ </t>
  </si>
  <si>
    <t>Комплект креплений для установки  ТТ</t>
  </si>
  <si>
    <t>Обогрев с автоматическим терморегулятором</t>
  </si>
  <si>
    <t>Металлорукав</t>
  </si>
  <si>
    <t>Розетка РАр10-3-ОПс заземлением на DIN-рейку ИЭК</t>
  </si>
  <si>
    <t>1 на шкаф</t>
  </si>
  <si>
    <t xml:space="preserve">Диаметр 32мм </t>
  </si>
  <si>
    <t>ОИН</t>
  </si>
  <si>
    <t>Кабель ПВ-1</t>
  </si>
  <si>
    <t>3.2 Абонентские трансформаторные подстанции 6-10/0,4 кВ</t>
  </si>
  <si>
    <t xml:space="preserve">Трехфазные счетчики полукосвенного включения активно-реактивные </t>
  </si>
  <si>
    <t>GSM - модем RS-485</t>
  </si>
  <si>
    <t xml:space="preserve">Блок питание </t>
  </si>
  <si>
    <t>Автоматический выключатель ВА 47-29-1В 6,3 А</t>
  </si>
  <si>
    <t>Стяжка монтажная</t>
  </si>
  <si>
    <t>4. Дополнительное оборудование и материалы:</t>
  </si>
  <si>
    <t xml:space="preserve">Проволока для пломбирования </t>
  </si>
  <si>
    <t>Оборудование:</t>
  </si>
  <si>
    <t>ИТОГО:</t>
  </si>
  <si>
    <t>ИТОГО ОБОРУДОВАНИЕ:</t>
  </si>
  <si>
    <t>ИТОГО РАБОТЫ:</t>
  </si>
  <si>
    <t>НДС:</t>
  </si>
  <si>
    <t>ВСЕГО с НДС:</t>
  </si>
  <si>
    <t xml:space="preserve">Кабель контрольный </t>
  </si>
  <si>
    <t>Кабель силовой АВВГ</t>
  </si>
  <si>
    <t>Наконечник 25 мм2</t>
  </si>
  <si>
    <t>Наконечник штифтовой НШП-25</t>
  </si>
  <si>
    <t>Наконечник с изолированным фланцем</t>
  </si>
  <si>
    <t>НШвИ-2,5 (60 шт.)</t>
  </si>
  <si>
    <t>уп.</t>
  </si>
  <si>
    <t>БП 220/12V</t>
  </si>
  <si>
    <t>Минимальный комплект для терминала мобильного</t>
  </si>
  <si>
    <t>Меркурий 200.04М</t>
  </si>
  <si>
    <t>Счетчики</t>
  </si>
  <si>
    <t>Удаленный дисплей RUD-512L</t>
  </si>
  <si>
    <t xml:space="preserve">Оборудование автоматизаци </t>
  </si>
  <si>
    <t>GSM - модем RS-485 "Меркурий 228"</t>
  </si>
  <si>
    <t>Кабельная продукция</t>
  </si>
  <si>
    <t>Провод СИП4 2х16 мм2</t>
  </si>
  <si>
    <t>Провод СИП4 4х25 мм2</t>
  </si>
  <si>
    <t>Кабель силовой ВВГнг сечением от 25 мм2 до 150 мм2</t>
  </si>
  <si>
    <t xml:space="preserve">Кабель контрольный ВВГнг-LS 4*2,5 </t>
  </si>
  <si>
    <t>Трансформаторы тока</t>
  </si>
  <si>
    <t>Шкаф учета</t>
  </si>
  <si>
    <t>Вводные шкафы учета IP54  3Ф Абн.</t>
  </si>
  <si>
    <t xml:space="preserve">Вводные шкафы учета IP54  ТП 1,2 мм  </t>
  </si>
  <si>
    <t>Обогрев с автоматическим терморегулятором  Обогреватель 45 Вт FLH045, Терморегулятор  FLZ520</t>
  </si>
  <si>
    <t>Арматура под СИП</t>
  </si>
  <si>
    <t>Анкерный зажим SO158.1</t>
  </si>
  <si>
    <t>Анкерный кронштейн SO253</t>
  </si>
  <si>
    <t>Крюк-болт  (Анкерный крюк) SOT16.12</t>
  </si>
  <si>
    <t>Монтажная стальная лента из нержавеющей стали  COT37</t>
  </si>
  <si>
    <t>Скрепа COT36</t>
  </si>
  <si>
    <t>Ед.изм.</t>
  </si>
  <si>
    <t>кол.</t>
  </si>
  <si>
    <t>Мини-ный комплект для терминала мобильного "Рим 099.01.08"</t>
  </si>
  <si>
    <t>Вводные шкафы учета IP54  1Ф Абн.</t>
  </si>
  <si>
    <t>Шкаф Ретран. 1,2 мм</t>
  </si>
  <si>
    <t>уголок 40х40, болты, гайка, шайба</t>
  </si>
  <si>
    <t>Испытательные коробки</t>
  </si>
  <si>
    <t xml:space="preserve">уголок 40х40, болты, гайка, шайба (анкерный болт, гайка, шайба) </t>
  </si>
  <si>
    <t>Крепление кронштейна и кабеля анкерный болт, гайка, шайба, стяжка</t>
  </si>
  <si>
    <t>Материалы:</t>
  </si>
  <si>
    <t>Оборудование</t>
  </si>
  <si>
    <t>Материалы</t>
  </si>
  <si>
    <t>Терминал мобильный</t>
  </si>
  <si>
    <t>Оборудование и материалы</t>
  </si>
  <si>
    <t>Герметичный  прокалывающий зажим</t>
  </si>
  <si>
    <t xml:space="preserve">Кабель силовой </t>
  </si>
  <si>
    <t>ВВГнг (АВВГнг) сечением от 25 мм2 до 150 мм2</t>
  </si>
  <si>
    <t>Кронштейн</t>
  </si>
  <si>
    <t xml:space="preserve">Испытательная коробка </t>
  </si>
  <si>
    <t>Антены для Маршрутизатор каналов связи МКС</t>
  </si>
  <si>
    <t>IRZ MC52i-485GI или Teleofis RX108-R RS-485</t>
  </si>
  <si>
    <t>Маршрутизатор каналов связи МКС (в комплекте с монтажным устройством РиМ 000.01)</t>
  </si>
  <si>
    <t>1.2. Однофазные приборы учета с разделением вводов</t>
  </si>
  <si>
    <t>Терминал мобильный "Рим 099.01.03"</t>
  </si>
  <si>
    <t>Терминал мобильный "Рим 099.01.01"</t>
  </si>
  <si>
    <t>Конвертор RS485-PLC РМ015.03</t>
  </si>
  <si>
    <t>Концентратор RF-PLC РМ 025.03</t>
  </si>
  <si>
    <t>Оптическая головка в комплекте с переходником СМ-bus, кабелем USB, и телефоным кабелем</t>
  </si>
  <si>
    <t>Переносное устройство HHU 51A/1-FC/U (Ручной терминал)</t>
  </si>
  <si>
    <t>NP523.20D-1E1ALNI (Split)</t>
  </si>
  <si>
    <t>ИТОГО МАТЕРИАЛЫ:</t>
  </si>
  <si>
    <t xml:space="preserve">Наконечники </t>
  </si>
  <si>
    <t>Наконечники под силовой кабель ВВГнг (АВВГнг) сечением от 25 мм2 до 150 мм2</t>
  </si>
  <si>
    <t>Работа:</t>
  </si>
  <si>
    <t xml:space="preserve">ВА47-29-1В 6,3А </t>
  </si>
  <si>
    <t>Пломбы для пломбирования учёта (пластиковая пломба )</t>
  </si>
  <si>
    <t>Пломбы для пломбирования учёта (свинцовая пломба)</t>
  </si>
  <si>
    <t>Пластиковая пломба с логотипом (ОАО «ДРСК») и уникальным номером</t>
  </si>
  <si>
    <t>Свинцовая пломба</t>
  </si>
  <si>
    <t>Трансформаторы тока 1000/5  кл.0,5S</t>
  </si>
  <si>
    <t>Трансформаторы тока 1200/5  кл.0,5S</t>
  </si>
  <si>
    <t xml:space="preserve">Роутер RTR512.10-6L/EY (LV+Ethernet+GSM/GPRS,FSK) </t>
  </si>
  <si>
    <t>Наконечник</t>
  </si>
  <si>
    <t>ТА 16-8-5,4</t>
  </si>
  <si>
    <t xml:space="preserve">Кабель ПВ-1 1*2,5 </t>
  </si>
  <si>
    <t>Кабель ПВ-3 1*10</t>
  </si>
  <si>
    <t>Кабель ПВ-3</t>
  </si>
  <si>
    <t>ТМ/ТМЛ 10-8-5</t>
  </si>
  <si>
    <t>Дистанц. дисплей РиМ 040.03</t>
  </si>
  <si>
    <t xml:space="preserve">Трехфазные счетчики прямого включения активно-реактивные  </t>
  </si>
  <si>
    <t>Трансформаторы тока 2000/5  кл.0,5S</t>
  </si>
  <si>
    <t>Испытательная коробка (КИ10, ИКК)</t>
  </si>
  <si>
    <t>Счетчики "Матрица"</t>
  </si>
  <si>
    <t>Счетчики "РиМ"</t>
  </si>
  <si>
    <t>Счетчики "Меркурий"</t>
  </si>
  <si>
    <t>Герметичный  прокалывающий зажим SLIW 50</t>
  </si>
  <si>
    <t xml:space="preserve">Кабель АВВГнг 2х16 мм2 </t>
  </si>
  <si>
    <t xml:space="preserve">ВА47-29-1В 6,3А  </t>
  </si>
  <si>
    <t>Влагозащищенный прокалывающий зажим SLIP 12.1</t>
  </si>
  <si>
    <t>Влагозащищенный прокалывающий зажим SLIP 12.127</t>
  </si>
  <si>
    <t>Влагозащищенный прокалывающий зажим</t>
  </si>
  <si>
    <t>Комплект для крепления счетчика</t>
  </si>
  <si>
    <t xml:space="preserve">ТА 25-8-7 </t>
  </si>
  <si>
    <t>Дистанц. дисплей РиМ 040.03.01</t>
  </si>
  <si>
    <t xml:space="preserve">Кабель контрольный КВВГнг-LS 7*2,5 </t>
  </si>
  <si>
    <t>GB000005810</t>
  </si>
  <si>
    <t>GB000008643</t>
  </si>
  <si>
    <t>GB000037481</t>
  </si>
  <si>
    <t>GB000021549</t>
  </si>
  <si>
    <t>GB000034592</t>
  </si>
  <si>
    <t>GB000035478</t>
  </si>
  <si>
    <t>GB000010781</t>
  </si>
  <si>
    <t>Антенна GSM ANT-996 A</t>
  </si>
  <si>
    <t>Кабель</t>
  </si>
  <si>
    <t>Кабель ВВГнг-LS 3*2,5</t>
  </si>
  <si>
    <t xml:space="preserve">Металлорукав ПХВ изоляции d=32мм </t>
  </si>
  <si>
    <t>Кабель ВВГнг-LS 2*2,5</t>
  </si>
  <si>
    <t>ВА47-100-3В на ток 80А (трехполюсной)</t>
  </si>
  <si>
    <t>Металлорукав ПХВ  РЗ-ЦП нг 32  (диаметр 32мм )</t>
  </si>
  <si>
    <t>Монитор линии с коиплектом кабелей RML</t>
  </si>
  <si>
    <t>Гофра 25мм.</t>
  </si>
  <si>
    <t>1.5. Трехфазные приборы учета прямого включения</t>
  </si>
  <si>
    <t>GB000035527</t>
  </si>
  <si>
    <t>Гофра 22 мм</t>
  </si>
  <si>
    <t>Термик С-0,1(400*440*40)+EBERLE 16A TP-1</t>
  </si>
  <si>
    <t>GB000035471</t>
  </si>
  <si>
    <t>Коммуникатор С-1.02</t>
  </si>
  <si>
    <t>Усилитель GSM сигнала ART 900/1800</t>
  </si>
  <si>
    <t>Щит для автоматического переключения питания с основного ввода на резервный типа ЩАП,  ЩАП-12 10 (А) УХЛ 3.1</t>
  </si>
  <si>
    <t>Резистор МЛТ-0.25  120 Ом.</t>
  </si>
  <si>
    <t>Оборудование связи и УСПД</t>
  </si>
  <si>
    <t>Счетчики "СЭТ-4ТМ"</t>
  </si>
  <si>
    <t>Счетчики "Энергомера"</t>
  </si>
  <si>
    <t>Разветвляющая  коробка  интерфейса RS-485 (РК-1)</t>
  </si>
  <si>
    <t>Металлорукав ПХВ  РЗ-ЦП нг 25 мм.  (диаметр 25 мм.)</t>
  </si>
  <si>
    <t xml:space="preserve">Шкаф ТП  1,2 мм  (Согласно опросного листа) </t>
  </si>
  <si>
    <t xml:space="preserve">Шкаф (Согласно опросного листа) </t>
  </si>
  <si>
    <t>Магистраль выполненная СИП</t>
  </si>
  <si>
    <t>1.3Однофазные приборы учета</t>
  </si>
  <si>
    <t>1.4. Однофазные приборы учета</t>
  </si>
  <si>
    <t>там где нет возможности установить подвесной счетчик электроэнергии</t>
  </si>
  <si>
    <t>1.6. Трехфазные приборы учета прямого включения с разделением вводов</t>
  </si>
  <si>
    <t>1.7. Трехфазные приборы учета прямого включения</t>
  </si>
  <si>
    <t>2.2. Однофазные приборы учета разделение вводов</t>
  </si>
  <si>
    <t>2.3. Однофазные приборы учета</t>
  </si>
  <si>
    <t>2.4. Однофазные приборы учета</t>
  </si>
  <si>
    <t xml:space="preserve">Шкаф ТП-Аб  1,2 мм (Согласно опросного листа) </t>
  </si>
  <si>
    <r>
      <t>Кабель АВВГ</t>
    </r>
    <r>
      <rPr>
        <sz val="11"/>
        <color indexed="8"/>
        <rFont val="Times New Roman"/>
        <family val="1"/>
        <charset val="204"/>
      </rPr>
      <t>нг LS</t>
    </r>
    <r>
      <rPr>
        <sz val="12"/>
        <color theme="1"/>
        <rFont val="Times New Roman"/>
        <family val="2"/>
        <charset val="204"/>
      </rPr>
      <t xml:space="preserve"> 4х25 мм2 </t>
    </r>
  </si>
  <si>
    <t xml:space="preserve">Кабель АВВГнг LS 2х16 мм2 </t>
  </si>
  <si>
    <t xml:space="preserve">Кабель интерфейсный ТехноКИПнг (D) 2*2*0,6 </t>
  </si>
  <si>
    <t>ПСЧ-4ТМ.05МК.22</t>
  </si>
  <si>
    <t>Меркурий 206 PLNO</t>
  </si>
  <si>
    <t>Меркурий 234 ARTM-00 PB.G</t>
  </si>
  <si>
    <t>Меркурий 234 ARTM2-00 PB.G</t>
  </si>
  <si>
    <t>Меркурий 236 ART-01 PQL</t>
  </si>
  <si>
    <t>Меркурий 236 ART-02 PQL</t>
  </si>
  <si>
    <t>Меркурий 236 ART-03 PQL</t>
  </si>
  <si>
    <t>ПСЧ-4ТМ.05М</t>
  </si>
  <si>
    <t>Концентраторы "Меркурий 225.11"</t>
  </si>
  <si>
    <r>
      <t>РиМ 384,01/2(состоит из 1Ф ДИЭ-2 шт.) Uном</t>
    </r>
    <r>
      <rPr>
        <sz val="14"/>
        <rFont val="Times New Roman"/>
        <family val="1"/>
        <charset val="204"/>
      </rPr>
      <t>-</t>
    </r>
    <r>
      <rPr>
        <sz val="12"/>
        <rFont val="Times New Roman"/>
        <family val="1"/>
        <charset val="204"/>
      </rPr>
      <t>6 кВ  с УЗПНол с терминалом мобильным РиМ 099.01-09</t>
    </r>
  </si>
  <si>
    <t>РиМ 384,02/2(состоит из 1Ф ДИЭ-2 шт.) Uном-10 кВ с УЗПНол с терминалом мобильным РиМ 099.01-09</t>
  </si>
  <si>
    <t>GSM/GPRS коммуникатор PGC.02</t>
  </si>
  <si>
    <t>Разветвляющая  коробка  интерфейса RS-485 (Универсальная)</t>
  </si>
  <si>
    <t>Наконечник для интерфейсного кабеля НШвИ 0,75</t>
  </si>
  <si>
    <t>Площадка самоклеющаяся 20х20 под хомуты 3,6</t>
  </si>
  <si>
    <t>КСМ. Стяжки кабельные с маркировочной плащадкой 3х100</t>
  </si>
  <si>
    <t xml:space="preserve">Телефонная розетка 2xRJ-45 </t>
  </si>
  <si>
    <t>Хомуты нейлоновые 3,6*180</t>
  </si>
  <si>
    <r>
      <t>Стоимость ед. оборудования, материалов, руб. с НДС (</t>
    </r>
    <r>
      <rPr>
        <sz val="12"/>
        <color indexed="10"/>
        <rFont val="Times New Roman"/>
        <family val="1"/>
        <charset val="204"/>
      </rPr>
      <t>из 1С)</t>
    </r>
  </si>
  <si>
    <t>УСПД на 50 счетчиков (RS-232 -3 шт, RS-485 - 8 шт, GPS/Глонас,  -30 до +50 С)</t>
  </si>
  <si>
    <t xml:space="preserve">УСПД на 25 счетчиков (RS-232 -3 шт, RS-485 - 4 шт, GPS/Глонас,  -30 до +50 С) </t>
  </si>
  <si>
    <t>УСПД на 15 счетчиков (RS-232 -2 шт, RS-485 - 3 шт, GPS/Глонас,  -30 до +50 С)</t>
  </si>
  <si>
    <t>РиМ 071.01 (GSM модем)</t>
  </si>
  <si>
    <t>IRZ MC52i-485GI или Teleofis RX108-R RS-485, с блоком питания и атенной</t>
  </si>
  <si>
    <t>РиМ 071.02.01 (GSM модем)</t>
  </si>
  <si>
    <t>Коммуникатор</t>
  </si>
  <si>
    <t>GB000005690</t>
  </si>
  <si>
    <t>Стоимость ед. оборудования, материалов, руб. без НДС, на 2017 г.</t>
  </si>
  <si>
    <t>данные из 1С в 2017 год</t>
  </si>
  <si>
    <t>Стяжка монтажная,  100 шт. на ТП</t>
  </si>
  <si>
    <t xml:space="preserve">2.5. Трехфазные приборы учета прямого включения </t>
  </si>
  <si>
    <t>2.6. Трехфазные приборы учета прямого включения с разделением вводов</t>
  </si>
  <si>
    <t xml:space="preserve">2.7. Трехфазные приборы учета прямого включения </t>
  </si>
  <si>
    <t>2.8. Трехфазные приборы учета полукосвеного включения</t>
  </si>
  <si>
    <t>РиМ 189.12.ВК3 (РиМ 189.12+ДД РиМ-040.03) (с отключением нагрузки, акт/реакт., Imax-80 A)</t>
  </si>
  <si>
    <t>GB000045011</t>
  </si>
  <si>
    <t>РиМ 289.01 Счетчик электрической активно-реактивной энергии однофазный многотарифный РиМ</t>
  </si>
  <si>
    <t>РиМ 289.02 (с отключением нагрузки, акт./реакт., Imax-80 A, только PLC)</t>
  </si>
  <si>
    <t>GB000045004</t>
  </si>
  <si>
    <t>РиМ 489.18.ВК3 (РиМ 489.08+ДД РиМ-040.03) c отключением нагрузки, акт./реакт., Imax 100 A)</t>
  </si>
  <si>
    <t>GB000044994</t>
  </si>
  <si>
    <t>РиМ 489.14 (с отключением нагрузки, акт./реакт., Imax 80A) (аналог РиМ 489.04)</t>
  </si>
  <si>
    <t>GB000044989</t>
  </si>
  <si>
    <t>РиМ 489.13 (без отключения нагрузки, акт./реакт., Imax 7,5A) (аналог РиМ 489.03)</t>
  </si>
  <si>
    <t>GB000044990</t>
  </si>
  <si>
    <t>РиМ 489.16 (без отключения нагрузки, акт./реакт.,Imax 100 A)  (аналог РиМ 489.06)</t>
  </si>
  <si>
    <t>GB000044987</t>
  </si>
  <si>
    <t>21 495,00</t>
  </si>
  <si>
    <t>59 710,00</t>
  </si>
  <si>
    <t>95 000,00</t>
  </si>
  <si>
    <t>GB000045015</t>
  </si>
  <si>
    <t>GSM-модем РиМ 071.02 -01 (конструктив в закрытом корпусе)</t>
  </si>
  <si>
    <t>GB000042772</t>
  </si>
  <si>
    <t>8 928,00</t>
  </si>
  <si>
    <t>GSM коммуникатор РиМ 071.01 (безкорпусной для РиМ 889.ХХ)</t>
  </si>
  <si>
    <t>GB000040202</t>
  </si>
  <si>
    <t>8 997,83</t>
  </si>
  <si>
    <t>Конвертер RS485-PLC PM 015.03</t>
  </si>
  <si>
    <t>GB000037530</t>
  </si>
  <si>
    <t>6 733,83</t>
  </si>
  <si>
    <t>Конвертер RF-PLC PM 025.03</t>
  </si>
  <si>
    <t>GB000037529</t>
  </si>
  <si>
    <t>6 871,84</t>
  </si>
  <si>
    <t>2 035,50</t>
  </si>
  <si>
    <t>GB000038049</t>
  </si>
  <si>
    <t>3 335,00</t>
  </si>
  <si>
    <t>GB000024694</t>
  </si>
  <si>
    <t>Терморегулятор Eberle16A ТР-1 (для обогревателя)</t>
  </si>
  <si>
    <t>1 839,83</t>
  </si>
  <si>
    <t>Антенна GSM ANT-996 A  (антенна с врезным креплением на металлическом рефлекторе-кронштейне 330-330 мм. провод RG-58A/U 5м)
GSM   900/1800 МГц вандалозащищенная антенна для помещений с низким уровнем сигнала.</t>
  </si>
  <si>
    <t>GB000046114</t>
  </si>
  <si>
    <t>GB000021734</t>
  </si>
  <si>
    <t>GB000039428</t>
  </si>
  <si>
    <t>ВА 47-63 2Р  6А (С) (двухполюсной)</t>
  </si>
  <si>
    <t>GB000042783</t>
  </si>
  <si>
    <t>GB000039685</t>
  </si>
  <si>
    <t>GB000038228</t>
  </si>
  <si>
    <t>GB000042847</t>
  </si>
  <si>
    <t>Шкаф НКУ (стальной корпус 500х400х250) на базе контроллера ARIS MT700-3 (1 порт RS-232, 3 порта RS-485, 1хEthernet, 8хDI, 8хAI, 4хDO, питание 220В).</t>
  </si>
  <si>
    <t>GB000040013</t>
  </si>
  <si>
    <t>135 700,00</t>
  </si>
  <si>
    <t>НКУ ММТ-5</t>
  </si>
  <si>
    <t>GB000040416</t>
  </si>
  <si>
    <t>GB000025661</t>
  </si>
  <si>
    <t>19 676,50</t>
  </si>
  <si>
    <t>GB000034783</t>
  </si>
  <si>
    <t>5 175,00</t>
  </si>
  <si>
    <t>IRZ MC52i -485GI (в комплекте с антенной и блоком питания)</t>
  </si>
  <si>
    <t>GB000024408</t>
  </si>
  <si>
    <t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t>
  </si>
  <si>
    <t>Однофазный прибор учета (8-тарифов, класс.точности (А/Р)- 1,0/2,0,  Uном -220(230) Iном (макс) 5-(100)А, встроенный приемо-передатчик RF, PLC, функция ретранслятора и радиомоста, RS-485, оптопорт, 3-дискретных выхода, 2-канала измерения, -40…+70 °С) или аналог.</t>
  </si>
  <si>
    <t>Однофазный прибор учета (8-тарифов, класс.точности (А/Р)- 1,0/2,0,  Uном -220(230) Iном (макс) 5-(80)А, встроенный приемо-передатчик RF, PLC, функция ретранслятора и радиомоста, RS-485, оптопорт, 3-дискретных выхода, 2-канала измерения,  устройством коммутации нагрузки, -40…+70 °С) или аналог.</t>
  </si>
  <si>
    <t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t>
  </si>
  <si>
    <t>Трехфазный счетчик прямого включения активно-реактивный, (8-тарифов, класс.точности (А/Р)- 1,0/2,0, Uном 3х220(230)/380(400) Iном (макс) 5-(80)А, встроенный приемо-передатчик RF, PLC, функция ретранслятора и радиомоста, оптопорт, 2RS-485, с устройством коммутации нагрузки, (открытый протокол DLMS/COSEM), 2-дискретных входа, 2-дискретных выхода, -40...+70 °С)  или аналог.</t>
  </si>
  <si>
    <t>Трехфазный счетчик полукосвенного включения активно-реактивный, (8-тарифов, класс.точности (А/Р)- 0,5S/1,0, Uном 3х220(230)/380(400) Iном (макс)  5-(7,5)А,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</t>
  </si>
  <si>
    <t xml:space="preserve"> Трехфазный счетчик прямого включения активно-реактивный, (8-тарифов, класс.точности (А/Р)- 1,0/2,0, Uном 3х220(230)/380(400) Iном (макс)  5-(100)А 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 </t>
  </si>
  <si>
    <t xml:space="preserve">УСПД (GSM/GPRS), (в комплекте с защитным устройством: трехфазный автоматический выключатель ВА 47-63 3п 6А С -1 шт., ОИН-3 шт. на Din-рейку) </t>
  </si>
  <si>
    <t>Обогреватель Click 100 Вт IP20, крепление на DIN-рейку EKF PROxima + Термостат 10 А NC EKF PROxima</t>
  </si>
  <si>
    <t xml:space="preserve">Кабель интерфейсный </t>
  </si>
  <si>
    <t>Модем</t>
  </si>
  <si>
    <t>Многофункциональный трехфазный активно-реактивный счетчик электрической энергии (8-тарифов, 12 сезонов,  класс.точности (А/Р)- 0,5S/1,0, Uном 3×(57,7-115)/(100-200) В,  Iном (макс)  5-(7,5)А, оптопорт, два RS-485, ModBus-подобный протокол обмена,  Резервное питание ~ ± от 100 до 265,  -40 до +60 °С) (СЭТ-4ТМ.03М.01)</t>
  </si>
  <si>
    <t>Многофункциональный трехфазный активно-реактивный счетчик электрической энергии полукосвенного включения  (8-тарифов, 12 сезонов,  класс.точности (А/Р)- 0,5S/1,0, Uном 3×3*(120-230)/(206-400) В,  Iном (макс)  5-(7,5)А, оптопорт, два RS-485, ModBus-подобный протокол обмена,  Резервное питание ~ ± от 100 до 265,  -40 до +60 °С) (СЭТ-4ТМ.03М.09)</t>
  </si>
  <si>
    <t>Трехфазные счетчики активно-реактивной энергии трансформаторного включения (4-тарифа, 16 тарифных интервалов,  класс.точности (А/Р)- 0,5S/1,0, Uном 3×(57,7-115)/(100-200) В,  Iном (макс)  5-(7,5)А, IrDA,  RS-485 (САN),  Резервное питание  ±  до 9 В,  -40 до + 55 °С) (Меркурий 234 ART-03 P)</t>
  </si>
  <si>
    <t>GB000044956</t>
  </si>
  <si>
    <t>GB000044953</t>
  </si>
  <si>
    <t>GB000044683</t>
  </si>
  <si>
    <t>GB000025528</t>
  </si>
  <si>
    <t>GB000038301</t>
  </si>
  <si>
    <t>GB000042788</t>
  </si>
  <si>
    <t>Кабель контрольный КВВГнг-LS 4*4-0,66</t>
  </si>
  <si>
    <t>Кабель МКШ 2х 1,5</t>
  </si>
  <si>
    <t>18 398,53</t>
  </si>
  <si>
    <t>12 390,87</t>
  </si>
  <si>
    <t>7 553,56</t>
  </si>
  <si>
    <t>GB000045005</t>
  </si>
  <si>
    <t>9 207,16</t>
  </si>
  <si>
    <t>26 221,01</t>
  </si>
  <si>
    <t>21 652,62</t>
  </si>
  <si>
    <t>20 025,63</t>
  </si>
  <si>
    <t>2 002,55</t>
  </si>
  <si>
    <t>GB000045018</t>
  </si>
  <si>
    <t>22 310,40</t>
  </si>
  <si>
    <t>25 251,77</t>
  </si>
  <si>
    <t>26 230,28</t>
  </si>
  <si>
    <t>Многофункциональные трехфазный  активно-реактивный счетчик электрической энергии с GSM/GPRS коммуникатором (4-тарифов, 12 сезонов, 2 четырехканальных независемых моссива профиля мощности, класс.точности (А/Р)- 0,5S/1,0, Uном 3×(57,7-115)/(100-200) В,  Iном (макс)  5-(7,5)А, оптопорт, два RS-485, ModBus-подобный протокол обмена,  Резервное питание ~ ± от 100 до 265,  -40 до +60 °С) (ПСЧ-4ТМ.05МК.00.01 (с коммуникатором GSM C-1.02.01)</t>
  </si>
  <si>
    <t>3 675,00</t>
  </si>
  <si>
    <t>GB000042692</t>
  </si>
  <si>
    <t>3 045,00</t>
  </si>
  <si>
    <t>GB000012135</t>
  </si>
  <si>
    <t>5 985,00</t>
  </si>
  <si>
    <t>GB000042691</t>
  </si>
  <si>
    <t>GB000042690</t>
  </si>
  <si>
    <t>GB000042689</t>
  </si>
  <si>
    <t>Трехфазные счетчики активно-реактивной энергии на два направления трансформаторного включения (4-тарифа, 16 тарифных интервалов,  класс.точности (А/Р)- 0,5S/1,0, Uном 3×(57,7-115)/(100-200) В,  Iном (макс)  5-(7,5)А, IrDA,  RS-485 (САN),  Резервное питание  ±  до 9 В,  -40 до + 55 °С) (Меркурий 234 ART2-00 P)</t>
  </si>
  <si>
    <t>Трехфазные счетчики активно-реактивной энергии полукосвенного включения (4-тарифа, 16 тарифных интервалов,  класс.точности (А/Р)- 0,5S/1,0, Uном 3*230(400) В,  Iном (макс)  5-(7,5)А, IrDA,  RS-485 (САN),  Резервное питание  ±  до 9 В,  -40 до + 55 °С)  (Меркурий 234 ART-00 P)</t>
  </si>
  <si>
    <t>10 657,50</t>
  </si>
  <si>
    <t>7 822,50</t>
  </si>
  <si>
    <t>6 877,50</t>
  </si>
  <si>
    <t>GB000048744</t>
  </si>
  <si>
    <t>8 338,47</t>
  </si>
  <si>
    <t>GB000048736</t>
  </si>
  <si>
    <t>NP 73E.2-12-1 (FSK) (100 А)</t>
  </si>
  <si>
    <t>18 585,00</t>
  </si>
  <si>
    <t>NP 71E.1-10-1 (FSK)</t>
  </si>
  <si>
    <t>GB000048747</t>
  </si>
  <si>
    <t>8 200,50</t>
  </si>
  <si>
    <t>NP 73E.1-11-1 (FSK)</t>
  </si>
  <si>
    <t>GB000048739</t>
  </si>
  <si>
    <t>17 307,68</t>
  </si>
  <si>
    <t>Трехфазный счетчик прямого включения активно-реактивный,(8-тарифов, класс.точности (А/Р)- 1,0/2,0, Uном 3х220(230)/380(400) Iном (макс)  5-(100)А, оптопорт, RS-485, (открытый протокол DLMS/COSEM), c GSM/GPRS модулем, -40...+70)  или аналог. (NP 73E.2-2-2 с GSM/GPRS)</t>
  </si>
  <si>
    <t>GB000040418</t>
  </si>
  <si>
    <t>28 026,08</t>
  </si>
  <si>
    <t>Трехфазный счетчик полукосвенного включения активно-реактивный, (8-тарифов, класс.точности (А/Р)- 1,0/2,0, Uном 3х220(230)/380(400) Iном (макс)  5-(7,5)А,  оптопорт, RS-485, (открытый протокол DLMS/COSEM), c GSM/GPRS модулем, -40...+70)  или аналог. (NP 73E.3-6-2  с GSM/GPRS)</t>
  </si>
  <si>
    <t>GB000040417</t>
  </si>
  <si>
    <t>18 583,76</t>
  </si>
  <si>
    <t>3 593,10</t>
  </si>
  <si>
    <t>ЦЭ6850М 0,5S/1 220В 5-7,5 А 1(2)Н 1Р ШЗ1</t>
  </si>
  <si>
    <t>GB000006448</t>
  </si>
  <si>
    <t>СЕ208 С2 849.2.OPR1.QD (с устройством считывания счетчиков СЕ901 КГЗ-02 и крепежной арматурой)</t>
  </si>
  <si>
    <t>GB000044939</t>
  </si>
  <si>
    <t>12 604,46</t>
  </si>
  <si>
    <t>CE308 C36. 746. OPR1. QYVF RP03 DLP (с устройством считывания счетчиков СЕ901 RUP-02 и комплектом кр</t>
  </si>
  <si>
    <t>GB000049128</t>
  </si>
  <si>
    <t>CE303 S31 543-JAVZ</t>
  </si>
  <si>
    <t>GB000035544</t>
  </si>
  <si>
    <t>CE303 S31 746 JR1VZ CE831M01.03</t>
  </si>
  <si>
    <t>GB000045761</t>
  </si>
  <si>
    <t>СЕ304 S32 602-JAAQ2HY</t>
  </si>
  <si>
    <t>GB000052307</t>
  </si>
  <si>
    <t>СЕ304 S32 632-JAAQ2HY</t>
  </si>
  <si>
    <t>GB000052306</t>
  </si>
  <si>
    <t>CE303 S31 746-JGVZ (антенна антивандальная "Антей-700 В" GSM 900/1800 врезная, кабель 2 м)</t>
  </si>
  <si>
    <t>GB000045763</t>
  </si>
  <si>
    <t>СЕ303 S31 543-JGVZ (антенна антивандальная "Антей-700 В" SMA GSM 900/1800 врезная кабель 2 м)</t>
  </si>
  <si>
    <t>GB000012044</t>
  </si>
  <si>
    <t>СЕ805М-RF01(с ОИН 1, антенной антивандальной "Антей-700 В" SMA GSM 900/1800 врезная, кабель 3 м)</t>
  </si>
  <si>
    <t>GB000049127</t>
  </si>
  <si>
    <t>80 051,20</t>
  </si>
  <si>
    <t>45 977,79</t>
  </si>
  <si>
    <t>км.</t>
  </si>
  <si>
    <t>132 537,39</t>
  </si>
  <si>
    <t>185 600,00</t>
  </si>
  <si>
    <t>GB000017832</t>
  </si>
  <si>
    <t>119 739,32</t>
  </si>
  <si>
    <t>GB000046237</t>
  </si>
  <si>
    <t>73 720,00</t>
  </si>
  <si>
    <t>614 142,21</t>
  </si>
  <si>
    <t>72 405,10</t>
  </si>
  <si>
    <t>GB000044161</t>
  </si>
  <si>
    <t>Трансформаторы тока 100/5, кл. 0,5S  У3 (Т-0,66-1-0,5S-5ВА-100/5 У3)</t>
  </si>
  <si>
    <t>GB000044164</t>
  </si>
  <si>
    <t>GB000044163</t>
  </si>
  <si>
    <t>Трансформаторы тока 200/5, кл. 0,5S  У3 (Т-0,66-1-0,5S-5ВА-200/5 У3)</t>
  </si>
  <si>
    <t>Трансформаторы тока 150/5, кл. 0,5S  У3 (Т-0,66-1-0,5S-5ВА-150/5 У3)</t>
  </si>
  <si>
    <t>GB000044165</t>
  </si>
  <si>
    <t>Трансформаторы тока 300/5, кл. 0,5S  У3 (Т-0,66-2-0,5S-5ВА-300/5 У3)</t>
  </si>
  <si>
    <t>GB000044166</t>
  </si>
  <si>
    <t>Трансформаторы тока 400/5, кл. 0,5S  У3 (Т-0,66-2-0,5S-5ВА-400/5 У3)</t>
  </si>
  <si>
    <t>GB000044162</t>
  </si>
  <si>
    <t>Трансформаторы тока 600/5, кл. 0,5S  У3 (Т-0,66-3-0,5S-5ВА-600/5 У3)</t>
  </si>
  <si>
    <t>GB000041261</t>
  </si>
  <si>
    <t>2 142,45</t>
  </si>
  <si>
    <t>Трансформаторы тока 800/5, кл. 0,5S  У3 (ТШП-0,66 800/5 0,5 S)</t>
  </si>
  <si>
    <t>GB000028846</t>
  </si>
  <si>
    <t>Трансформаторы тока 1000/5, кл. 0,5S  У3 (ТШП-0,66-10-0,5S-1000/5 У3)</t>
  </si>
  <si>
    <t>GB000028845</t>
  </si>
  <si>
    <t>1 837,08</t>
  </si>
  <si>
    <t>Трансформаторы тока 1500/5, кл. 0,5S  У3 (ТШП-0,66-10-0,5S-1500/5 У3)</t>
  </si>
  <si>
    <t>GB000051525</t>
  </si>
  <si>
    <t xml:space="preserve">ТШ-0,66-4-0,5S-5ВА-1500/5 У3 </t>
  </si>
  <si>
    <t>Трансформаторы тока 1200/5, кл. 0,5S  У3 (Т-0,66-М У3  1200/5  0,5S)</t>
  </si>
  <si>
    <t>Трансформаторы тока 2000/5, кл. 0,5S  У3 (Т-0,66 М 2000/5 0,5S)</t>
  </si>
  <si>
    <t>GB000045322</t>
  </si>
  <si>
    <t>489 995,00</t>
  </si>
  <si>
    <t>280 455,44</t>
  </si>
  <si>
    <t>129 800,00</t>
  </si>
  <si>
    <t>34 760,00</t>
  </si>
  <si>
    <t>18 644,00</t>
  </si>
  <si>
    <t>2 200,26</t>
  </si>
  <si>
    <t>GB000045290</t>
  </si>
  <si>
    <t>Гофра 32мм.</t>
  </si>
  <si>
    <t>GB000029587</t>
  </si>
  <si>
    <t>GB000051017</t>
  </si>
  <si>
    <t>8 527,37</t>
  </si>
  <si>
    <t>Антенна  BEST GSM-900 AKL-B в комплекте с кабелем 15м</t>
  </si>
  <si>
    <t>PR000000142</t>
  </si>
  <si>
    <t>184 920,00</t>
  </si>
  <si>
    <t>GB000034547</t>
  </si>
  <si>
    <t>Спецификация к модернизации систем учета ПРРЭС 2018 г.</t>
  </si>
  <si>
    <t>Приложение № 1 к ТЗ</t>
  </si>
  <si>
    <t>Блок питания 220/12 В</t>
  </si>
  <si>
    <t>CE303 S31 543 JR1VZ CE831M01.03</t>
  </si>
  <si>
    <t>GB000045762</t>
  </si>
  <si>
    <t xml:space="preserve">Устройство считывания счетчиков эл. Энергии СЕ901 RU-02 </t>
  </si>
  <si>
    <t>GB000052281</t>
  </si>
  <si>
    <t>Радиомодем СЕ831С1.03</t>
  </si>
  <si>
    <t>GB000044873</t>
  </si>
  <si>
    <t>Модем СЕ 832 С4</t>
  </si>
  <si>
    <t>GB000021557</t>
  </si>
  <si>
    <t>PLC Модем СЕ832С5</t>
  </si>
  <si>
    <t>GB000045310</t>
  </si>
  <si>
    <t>CE208 S7.849.2OPR1.QYUVFLZ RP01</t>
  </si>
  <si>
    <t>GB000045306</t>
  </si>
  <si>
    <t>CE303 S31 746-JAVZ</t>
  </si>
  <si>
    <t>GB000043275</t>
  </si>
  <si>
    <t>Спецификация к модернизации систем учета Октябрского РЭС 2018 г.</t>
  </si>
  <si>
    <t>Модем USB-RF предназначен для осуществления удаленного радиодоступа со стороны компьютера к счетчикам электроэнергии</t>
  </si>
  <si>
    <t xml:space="preserve">Разветвляющая  коробка  интерфейса RS-485 </t>
  </si>
  <si>
    <t>Установка ПКУ 6(10) кВ</t>
  </si>
  <si>
    <t>1. Установка ПКУ</t>
  </si>
  <si>
    <t>Опора СВ 105-05</t>
  </si>
  <si>
    <t>Уголок стальной 63х63х5 мм</t>
  </si>
  <si>
    <t>Узел крепления укоса У-3</t>
  </si>
  <si>
    <t>Проволока стальная катаная д-12 мм</t>
  </si>
  <si>
    <t>Металлорукав ПХВ  РЗ-ЦП нг 48  (диаметр 48мм )</t>
  </si>
  <si>
    <t>Шкаф ПКУ 6(10) кВ (согласно ТЗ)</t>
  </si>
  <si>
    <t>Металлорукав ПХВ  РЗ-ЦП нг 48</t>
  </si>
  <si>
    <t>Шкаф ПКУ 6 кВ</t>
  </si>
  <si>
    <t>Шкаф ПКУ 10 кВ</t>
  </si>
  <si>
    <t>т.</t>
  </si>
  <si>
    <t>Спецификация к модернизации систем учета ПКУ на  2018 г.</t>
  </si>
  <si>
    <t>Кабель контрольный КВВГ</t>
  </si>
  <si>
    <t xml:space="preserve">Кабель контрольный КВВГнг-LS 14*2,5 </t>
  </si>
  <si>
    <t>Провод</t>
  </si>
  <si>
    <t>Провод СИП3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</si>
</sst>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#,##0.00000"/>
    <numFmt numFmtId="166" formatCode="#,##0.00_р_."/>
  </numFmts>
  <fonts count="38" x14ac:knownFonts="1"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Helv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1"/>
      <color indexed="63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2"/>
      <charset val="204"/>
    </font>
    <font>
      <b/>
      <sz val="11"/>
      <color indexed="8"/>
      <name val="Times New Roman"/>
      <family val="1"/>
      <charset val="204"/>
    </font>
    <font>
      <b/>
      <u/>
      <sz val="11"/>
      <color indexed="8"/>
      <name val="Times New Roman"/>
      <family val="1"/>
      <charset val="204"/>
    </font>
    <font>
      <sz val="11"/>
      <color indexed="8"/>
      <name val="Times New Roman"/>
      <family val="2"/>
      <charset val="204"/>
    </font>
    <font>
      <b/>
      <sz val="11"/>
      <color indexed="8"/>
      <name val="Times New Roman"/>
      <family val="2"/>
      <charset val="204"/>
    </font>
    <font>
      <u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63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2"/>
      <name val="Times New Roman"/>
      <family val="2"/>
      <charset val="204"/>
    </font>
    <font>
      <i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b/>
      <sz val="12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i/>
      <sz val="16"/>
      <color indexed="8"/>
      <name val="Times New Roman"/>
      <family val="2"/>
      <charset val="204"/>
    </font>
    <font>
      <sz val="11"/>
      <color rgb="FFFF0000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D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8" fillId="0" borderId="0"/>
    <xf numFmtId="0" fontId="1" fillId="0" borderId="0"/>
    <xf numFmtId="0" fontId="4" fillId="0" borderId="0"/>
    <xf numFmtId="0" fontId="3" fillId="0" borderId="0"/>
  </cellStyleXfs>
  <cellXfs count="269">
    <xf numFmtId="0" fontId="0" fillId="0" borderId="0" xfId="0"/>
    <xf numFmtId="49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4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2" fillId="0" borderId="1" xfId="3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3" fontId="7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vertical="center" wrapText="1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12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0" fillId="0" borderId="1" xfId="0" applyNumberForma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0" fillId="0" borderId="1" xfId="0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0" fontId="0" fillId="0" borderId="0" xfId="0" applyFill="1" applyBorder="1"/>
    <xf numFmtId="3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" fontId="0" fillId="0" borderId="0" xfId="0" applyNumberFormat="1" applyFill="1" applyBorder="1"/>
    <xf numFmtId="4" fontId="0" fillId="0" borderId="0" xfId="0" applyNumberFormat="1" applyFill="1" applyAlignment="1">
      <alignment horizontal="center"/>
    </xf>
    <xf numFmtId="4" fontId="0" fillId="0" borderId="0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4" fontId="0" fillId="0" borderId="2" xfId="0" applyNumberFormat="1" applyFill="1" applyBorder="1" applyAlignment="1">
      <alignment horizontal="center"/>
    </xf>
    <xf numFmtId="4" fontId="16" fillId="0" borderId="1" xfId="0" applyNumberFormat="1" applyFont="1" applyFill="1" applyBorder="1" applyAlignment="1">
      <alignment horizontal="center"/>
    </xf>
    <xf numFmtId="0" fontId="20" fillId="0" borderId="0" xfId="0" applyFont="1"/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vertical="center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21" fillId="3" borderId="1" xfId="0" applyFont="1" applyFill="1" applyBorder="1" applyAlignment="1">
      <alignment vertical="center" wrapText="1"/>
    </xf>
    <xf numFmtId="4" fontId="21" fillId="3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 wrapText="1"/>
    </xf>
    <xf numFmtId="0" fontId="5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vertical="center"/>
    </xf>
    <xf numFmtId="1" fontId="5" fillId="3" borderId="1" xfId="0" applyNumberFormat="1" applyFont="1" applyFill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right" vertical="center" wrapText="1"/>
    </xf>
    <xf numFmtId="0" fontId="18" fillId="4" borderId="1" xfId="4" applyFont="1" applyFill="1" applyBorder="1" applyAlignment="1">
      <alignment horizontal="left" vertical="center" wrapText="1"/>
    </xf>
    <xf numFmtId="0" fontId="18" fillId="3" borderId="1" xfId="4" applyFont="1" applyFill="1" applyBorder="1" applyAlignment="1">
      <alignment horizontal="left" vertical="center" wrapText="1"/>
    </xf>
    <xf numFmtId="0" fontId="12" fillId="0" borderId="0" xfId="0" applyFont="1" applyBorder="1"/>
    <xf numFmtId="0" fontId="10" fillId="0" borderId="1" xfId="0" applyFont="1" applyBorder="1" applyAlignment="1">
      <alignment horizontal="right" vertical="center"/>
    </xf>
    <xf numFmtId="0" fontId="21" fillId="0" borderId="1" xfId="0" applyFont="1" applyBorder="1" applyAlignment="1">
      <alignment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22" fillId="0" borderId="0" xfId="0" applyFont="1"/>
    <xf numFmtId="0" fontId="19" fillId="0" borderId="0" xfId="0" applyFont="1" applyAlignment="1">
      <alignment horizontal="right"/>
    </xf>
    <xf numFmtId="0" fontId="9" fillId="3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horizontal="righ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9" fillId="3" borderId="4" xfId="0" applyFont="1" applyFill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0" fontId="0" fillId="0" borderId="2" xfId="0" applyFill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0" fillId="0" borderId="1" xfId="0" applyFill="1" applyBorder="1"/>
    <xf numFmtId="3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3" fontId="0" fillId="0" borderId="2" xfId="0" applyNumberForma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0" fontId="15" fillId="0" borderId="1" xfId="0" applyFont="1" applyFill="1" applyBorder="1"/>
    <xf numFmtId="0" fontId="0" fillId="0" borderId="1" xfId="0" applyFont="1" applyFill="1" applyBorder="1"/>
    <xf numFmtId="0" fontId="0" fillId="0" borderId="1" xfId="0" applyFill="1" applyBorder="1" applyAlignment="1">
      <alignment vertical="center" wrapText="1"/>
    </xf>
    <xf numFmtId="0" fontId="15" fillId="5" borderId="1" xfId="0" applyFont="1" applyFill="1" applyBorder="1"/>
    <xf numFmtId="0" fontId="0" fillId="5" borderId="1" xfId="0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/>
    </xf>
    <xf numFmtId="3" fontId="0" fillId="5" borderId="1" xfId="0" applyNumberFormat="1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0" fontId="0" fillId="5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3" fontId="0" fillId="3" borderId="1" xfId="0" applyNumberForma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12" fillId="0" borderId="1" xfId="0" applyFont="1" applyBorder="1"/>
    <xf numFmtId="0" fontId="26" fillId="0" borderId="1" xfId="0" applyFont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center" vertical="center"/>
    </xf>
    <xf numFmtId="3" fontId="12" fillId="0" borderId="0" xfId="0" applyNumberFormat="1" applyFont="1" applyFill="1" applyAlignment="1">
      <alignment horizontal="center" vertical="center"/>
    </xf>
    <xf numFmtId="0" fontId="13" fillId="0" borderId="0" xfId="0" applyFont="1"/>
    <xf numFmtId="0" fontId="0" fillId="6" borderId="1" xfId="0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18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2" borderId="1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right" vertical="center" wrapText="1"/>
    </xf>
    <xf numFmtId="4" fontId="18" fillId="3" borderId="1" xfId="0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4" fillId="3" borderId="1" xfId="0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3" fontId="0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/>
    </xf>
    <xf numFmtId="3" fontId="27" fillId="6" borderId="1" xfId="0" applyNumberFormat="1" applyFont="1" applyFill="1" applyBorder="1" applyAlignment="1">
      <alignment horizontal="center" vertical="center"/>
    </xf>
    <xf numFmtId="3" fontId="0" fillId="5" borderId="1" xfId="0" applyNumberFormat="1" applyFont="1" applyFill="1" applyBorder="1" applyAlignment="1">
      <alignment horizontal="center" vertical="center"/>
    </xf>
    <xf numFmtId="3" fontId="0" fillId="0" borderId="0" xfId="0" applyNumberFormat="1" applyFont="1" applyFill="1" applyAlignment="1">
      <alignment horizontal="center" vertical="center"/>
    </xf>
    <xf numFmtId="3" fontId="0" fillId="3" borderId="1" xfId="0" applyNumberFormat="1" applyFont="1" applyFill="1" applyBorder="1" applyAlignment="1">
      <alignment horizontal="center" vertical="center"/>
    </xf>
    <xf numFmtId="4" fontId="8" fillId="5" borderId="1" xfId="0" applyNumberFormat="1" applyFont="1" applyFill="1" applyBorder="1" applyAlignment="1">
      <alignment horizontal="center"/>
    </xf>
    <xf numFmtId="4" fontId="8" fillId="3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left" vertical="center" wrapText="1"/>
    </xf>
    <xf numFmtId="4" fontId="28" fillId="0" borderId="1" xfId="0" applyNumberFormat="1" applyFont="1" applyFill="1" applyBorder="1" applyAlignment="1">
      <alignment horizontal="center"/>
    </xf>
    <xf numFmtId="4" fontId="0" fillId="0" borderId="1" xfId="0" applyNumberForma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4" fontId="32" fillId="0" borderId="1" xfId="0" applyNumberFormat="1" applyFont="1" applyFill="1" applyBorder="1" applyAlignment="1">
      <alignment horizontal="center"/>
    </xf>
    <xf numFmtId="0" fontId="33" fillId="0" borderId="1" xfId="0" applyFont="1" applyFill="1" applyBorder="1"/>
    <xf numFmtId="0" fontId="18" fillId="3" borderId="1" xfId="0" applyFont="1" applyFill="1" applyBorder="1" applyAlignment="1">
      <alignment vertical="center" wrapText="1"/>
    </xf>
    <xf numFmtId="0" fontId="5" fillId="9" borderId="1" xfId="0" applyFont="1" applyFill="1" applyBorder="1" applyAlignment="1">
      <alignment vertical="center" wrapText="1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4" fontId="2" fillId="9" borderId="1" xfId="0" applyNumberFormat="1" applyFont="1" applyFill="1" applyBorder="1" applyAlignment="1">
      <alignment horizontal="right" vertical="center" wrapText="1"/>
    </xf>
    <xf numFmtId="0" fontId="18" fillId="9" borderId="1" xfId="0" applyFont="1" applyFill="1" applyBorder="1" applyAlignment="1">
      <alignment horizontal="center" vertical="center" wrapText="1"/>
    </xf>
    <xf numFmtId="4" fontId="18" fillId="9" borderId="1" xfId="0" applyNumberFormat="1" applyFont="1" applyFill="1" applyBorder="1" applyAlignment="1">
      <alignment horizontal="right" vertical="center" wrapText="1"/>
    </xf>
    <xf numFmtId="0" fontId="18" fillId="9" borderId="1" xfId="4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4" fontId="0" fillId="8" borderId="1" xfId="0" applyNumberFormat="1" applyFill="1" applyBorder="1" applyAlignment="1">
      <alignment horizontal="center" vertical="center"/>
    </xf>
    <xf numFmtId="0" fontId="21" fillId="9" borderId="1" xfId="0" applyFont="1" applyFill="1" applyBorder="1" applyAlignment="1">
      <alignment vertical="center" wrapText="1"/>
    </xf>
    <xf numFmtId="0" fontId="8" fillId="0" borderId="1" xfId="0" applyFont="1" applyFill="1" applyBorder="1"/>
    <xf numFmtId="0" fontId="15" fillId="10" borderId="1" xfId="0" applyFont="1" applyFill="1" applyBorder="1"/>
    <xf numFmtId="0" fontId="10" fillId="0" borderId="1" xfId="0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29" fillId="3" borderId="1" xfId="0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right" vertical="center" wrapText="1"/>
    </xf>
    <xf numFmtId="0" fontId="29" fillId="9" borderId="1" xfId="0" applyFont="1" applyFill="1" applyBorder="1" applyAlignment="1">
      <alignment horizontal="left" vertical="center" wrapText="1"/>
    </xf>
    <xf numFmtId="0" fontId="9" fillId="9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2" fillId="0" borderId="1" xfId="2" applyNumberFormat="1" applyFont="1" applyFill="1" applyBorder="1" applyAlignment="1" applyProtection="1">
      <alignment horizontal="left" vertical="center" wrapText="1"/>
    </xf>
    <xf numFmtId="4" fontId="0" fillId="8" borderId="1" xfId="0" applyNumberFormat="1" applyFill="1" applyBorder="1" applyAlignment="1">
      <alignment horizontal="center"/>
    </xf>
    <xf numFmtId="0" fontId="2" fillId="0" borderId="1" xfId="2" applyNumberFormat="1" applyFont="1" applyFill="1" applyBorder="1" applyAlignment="1" applyProtection="1">
      <alignment vertical="center" wrapText="1"/>
    </xf>
    <xf numFmtId="0" fontId="9" fillId="3" borderId="1" xfId="0" applyFont="1" applyFill="1" applyBorder="1" applyAlignment="1">
      <alignment vertical="center"/>
    </xf>
    <xf numFmtId="3" fontId="0" fillId="11" borderId="1" xfId="0" applyNumberFormat="1" applyFont="1" applyFill="1" applyBorder="1" applyAlignment="1">
      <alignment horizontal="center" vertical="center"/>
    </xf>
    <xf numFmtId="3" fontId="0" fillId="12" borderId="1" xfId="0" applyNumberFormat="1" applyFont="1" applyFill="1" applyBorder="1" applyAlignment="1">
      <alignment horizontal="center" vertical="center"/>
    </xf>
    <xf numFmtId="3" fontId="0" fillId="11" borderId="0" xfId="0" applyNumberFormat="1" applyFont="1" applyFill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4" fontId="8" fillId="8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wrapText="1"/>
    </xf>
    <xf numFmtId="2" fontId="32" fillId="0" borderId="0" xfId="0" applyNumberFormat="1" applyFont="1" applyFill="1"/>
    <xf numFmtId="4" fontId="0" fillId="0" borderId="4" xfId="0" applyNumberFormat="1" applyFill="1" applyBorder="1" applyAlignment="1">
      <alignment horizontal="center" vertical="center"/>
    </xf>
    <xf numFmtId="4" fontId="32" fillId="0" borderId="6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4" fontId="28" fillId="0" borderId="2" xfId="0" applyNumberFormat="1" applyFont="1" applyFill="1" applyBorder="1" applyAlignment="1">
      <alignment horizontal="center"/>
    </xf>
    <xf numFmtId="4" fontId="28" fillId="0" borderId="0" xfId="0" applyNumberFormat="1" applyFont="1" applyFill="1" applyAlignment="1">
      <alignment horizontal="center"/>
    </xf>
    <xf numFmtId="0" fontId="2" fillId="0" borderId="1" xfId="0" applyFont="1" applyFill="1" applyBorder="1"/>
    <xf numFmtId="4" fontId="28" fillId="0" borderId="1" xfId="0" applyNumberFormat="1" applyFont="1" applyFill="1" applyBorder="1" applyAlignment="1">
      <alignment horizontal="center" vertical="center"/>
    </xf>
    <xf numFmtId="0" fontId="0" fillId="13" borderId="1" xfId="0" applyFill="1" applyBorder="1"/>
    <xf numFmtId="3" fontId="0" fillId="13" borderId="1" xfId="0" applyNumberFormat="1" applyFont="1" applyFill="1" applyBorder="1" applyAlignment="1">
      <alignment horizontal="center" vertical="center"/>
    </xf>
    <xf numFmtId="4" fontId="28" fillId="13" borderId="1" xfId="0" applyNumberFormat="1" applyFont="1" applyFill="1" applyBorder="1" applyAlignment="1">
      <alignment horizontal="center"/>
    </xf>
    <xf numFmtId="4" fontId="8" fillId="13" borderId="1" xfId="0" applyNumberFormat="1" applyFont="1" applyFill="1" applyBorder="1" applyAlignment="1">
      <alignment horizontal="center"/>
    </xf>
    <xf numFmtId="0" fontId="0" fillId="13" borderId="1" xfId="0" applyFill="1" applyBorder="1" applyAlignment="1">
      <alignment horizontal="center" vertical="center"/>
    </xf>
    <xf numFmtId="4" fontId="0" fillId="13" borderId="1" xfId="0" applyNumberFormat="1" applyFill="1" applyBorder="1" applyAlignment="1">
      <alignment horizontal="center"/>
    </xf>
    <xf numFmtId="2" fontId="32" fillId="8" borderId="0" xfId="0" applyNumberFormat="1" applyFont="1" applyFill="1"/>
    <xf numFmtId="4" fontId="32" fillId="8" borderId="1" xfId="0" applyNumberFormat="1" applyFont="1" applyFill="1" applyBorder="1" applyAlignment="1">
      <alignment horizontal="center"/>
    </xf>
    <xf numFmtId="0" fontId="32" fillId="8" borderId="0" xfId="0" applyFont="1" applyFill="1"/>
    <xf numFmtId="0" fontId="0" fillId="0" borderId="0" xfId="0" applyFill="1" applyAlignment="1">
      <alignment horizontal="left" vertical="center"/>
    </xf>
    <xf numFmtId="0" fontId="32" fillId="8" borderId="0" xfId="0" applyFont="1" applyFill="1" applyAlignment="1">
      <alignment horizontal="center" vertical="center"/>
    </xf>
    <xf numFmtId="4" fontId="8" fillId="8" borderId="1" xfId="0" applyNumberFormat="1" applyFont="1" applyFill="1" applyBorder="1" applyAlignment="1">
      <alignment horizontal="center" vertical="center"/>
    </xf>
    <xf numFmtId="4" fontId="8" fillId="14" borderId="1" xfId="0" applyNumberFormat="1" applyFont="1" applyFill="1" applyBorder="1" applyAlignment="1">
      <alignment horizontal="center"/>
    </xf>
    <xf numFmtId="4" fontId="8" fillId="14" borderId="1" xfId="0" applyNumberFormat="1" applyFont="1" applyFill="1" applyBorder="1" applyAlignment="1">
      <alignment horizontal="center" vertical="center"/>
    </xf>
    <xf numFmtId="4" fontId="0" fillId="14" borderId="1" xfId="0" applyNumberFormat="1" applyFill="1" applyBorder="1" applyAlignment="1">
      <alignment horizontal="center"/>
    </xf>
    <xf numFmtId="0" fontId="0" fillId="0" borderId="0" xfId="0" applyFill="1" applyBorder="1" applyAlignment="1">
      <alignment wrapText="1"/>
    </xf>
    <xf numFmtId="0" fontId="25" fillId="9" borderId="1" xfId="0" applyFont="1" applyFill="1" applyBorder="1" applyAlignment="1">
      <alignment vertical="center"/>
    </xf>
    <xf numFmtId="0" fontId="0" fillId="9" borderId="1" xfId="0" applyFill="1" applyBorder="1"/>
    <xf numFmtId="0" fontId="0" fillId="9" borderId="1" xfId="0" applyFill="1" applyBorder="1" applyAlignment="1">
      <alignment horizontal="center" vertical="center"/>
    </xf>
    <xf numFmtId="3" fontId="0" fillId="9" borderId="1" xfId="0" applyNumberFormat="1" applyFont="1" applyFill="1" applyBorder="1" applyAlignment="1">
      <alignment horizontal="center" vertical="center"/>
    </xf>
    <xf numFmtId="4" fontId="28" fillId="9" borderId="1" xfId="0" applyNumberFormat="1" applyFont="1" applyFill="1" applyBorder="1" applyAlignment="1">
      <alignment horizontal="center"/>
    </xf>
    <xf numFmtId="4" fontId="8" fillId="9" borderId="1" xfId="0" applyNumberFormat="1" applyFont="1" applyFill="1" applyBorder="1" applyAlignment="1">
      <alignment horizontal="center"/>
    </xf>
    <xf numFmtId="3" fontId="0" fillId="9" borderId="1" xfId="0" applyNumberFormat="1" applyFill="1" applyBorder="1" applyAlignment="1">
      <alignment horizontal="center" vertical="center"/>
    </xf>
    <xf numFmtId="4" fontId="0" fillId="9" borderId="1" xfId="0" applyNumberFormat="1" applyFill="1" applyBorder="1" applyAlignment="1">
      <alignment horizontal="center" vertical="center"/>
    </xf>
    <xf numFmtId="0" fontId="17" fillId="14" borderId="0" xfId="0" applyFont="1" applyFill="1" applyAlignment="1">
      <alignment horizontal="center" vertical="center"/>
    </xf>
    <xf numFmtId="166" fontId="8" fillId="14" borderId="11" xfId="0" applyNumberFormat="1" applyFont="1" applyFill="1" applyBorder="1" applyAlignment="1">
      <alignment horizontal="center" vertical="center"/>
    </xf>
    <xf numFmtId="4" fontId="28" fillId="14" borderId="1" xfId="0" applyNumberFormat="1" applyFont="1" applyFill="1" applyBorder="1" applyAlignment="1">
      <alignment horizontal="center" vertical="center"/>
    </xf>
    <xf numFmtId="4" fontId="28" fillId="14" borderId="1" xfId="0" applyNumberFormat="1" applyFont="1" applyFill="1" applyBorder="1" applyAlignment="1">
      <alignment horizontal="center"/>
    </xf>
    <xf numFmtId="49" fontId="8" fillId="14" borderId="1" xfId="0" applyNumberFormat="1" applyFont="1" applyFill="1" applyBorder="1" applyAlignment="1">
      <alignment horizontal="center"/>
    </xf>
    <xf numFmtId="4" fontId="0" fillId="14" borderId="1" xfId="0" applyNumberFormat="1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4" fontId="0" fillId="14" borderId="1" xfId="0" applyNumberFormat="1" applyFill="1" applyBorder="1" applyAlignment="1">
      <alignment horizontal="left" vertical="center"/>
    </xf>
    <xf numFmtId="4" fontId="32" fillId="0" borderId="0" xfId="0" applyNumberFormat="1" applyFont="1" applyFill="1" applyBorder="1" applyAlignment="1">
      <alignment horizontal="center"/>
    </xf>
    <xf numFmtId="4" fontId="25" fillId="14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/>
    </xf>
    <xf numFmtId="4" fontId="19" fillId="0" borderId="0" xfId="0" applyNumberFormat="1" applyFont="1" applyBorder="1"/>
    <xf numFmtId="0" fontId="19" fillId="0" borderId="0" xfId="0" applyFont="1" applyFill="1"/>
    <xf numFmtId="0" fontId="19" fillId="0" borderId="0" xfId="0" applyFont="1" applyBorder="1"/>
    <xf numFmtId="0" fontId="19" fillId="0" borderId="0" xfId="0" applyFont="1"/>
    <xf numFmtId="0" fontId="35" fillId="0" borderId="0" xfId="0" applyFont="1" applyAlignment="1">
      <alignment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3" fontId="36" fillId="0" borderId="0" xfId="0" applyNumberFormat="1" applyFont="1" applyAlignment="1">
      <alignment horizontal="center" vertical="center"/>
    </xf>
    <xf numFmtId="3" fontId="36" fillId="0" borderId="0" xfId="0" applyNumberFormat="1" applyFont="1" applyBorder="1" applyAlignment="1">
      <alignment horizontal="center" vertical="center" wrapText="1"/>
    </xf>
    <xf numFmtId="3" fontId="36" fillId="0" borderId="0" xfId="0" applyNumberFormat="1" applyFont="1" applyFill="1" applyBorder="1" applyAlignment="1">
      <alignment horizontal="center" vertical="center" wrapText="1"/>
    </xf>
    <xf numFmtId="3" fontId="36" fillId="0" borderId="0" xfId="0" applyNumberFormat="1" applyFont="1" applyBorder="1" applyAlignment="1">
      <alignment horizontal="center" vertical="center"/>
    </xf>
    <xf numFmtId="4" fontId="36" fillId="0" borderId="0" xfId="0" applyNumberFormat="1" applyFont="1" applyBorder="1" applyAlignment="1">
      <alignment horizontal="center" vertical="center" wrapText="1"/>
    </xf>
    <xf numFmtId="0" fontId="5" fillId="8" borderId="0" xfId="0" applyFont="1" applyFill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4" fontId="0" fillId="0" borderId="10" xfId="0" applyNumberFormat="1" applyFill="1" applyBorder="1" applyAlignment="1">
      <alignment horizontal="center" vertical="center" wrapText="1"/>
    </xf>
    <xf numFmtId="4" fontId="0" fillId="0" borderId="9" xfId="0" applyNumberForma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3" fillId="7" borderId="8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3" xfId="1"/>
    <cellStyle name="Обычный_lst_tg" xfId="2"/>
    <cellStyle name="Обычный_ТП и Р СарГЭС (1-4)" xfId="3"/>
    <cellStyle name="Стиль 1" xfId="4"/>
  </cellStyles>
  <dxfs count="0"/>
  <tableStyles count="0" defaultTableStyle="TableStyleMedium2" defaultPivotStyle="PivotStyleLight16"/>
  <colors>
    <mruColors>
      <color rgb="FF00FF00"/>
      <color rgb="FFDDFFFF"/>
      <color rgb="FFFFFFCC"/>
      <color rgb="FFEAF1FA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S241"/>
  <sheetViews>
    <sheetView zoomScale="85" zoomScaleNormal="85" workbookViewId="0">
      <pane ySplit="2" topLeftCell="A86" activePane="bottomLeft" state="frozen"/>
      <selection pane="bottomLeft" activeCell="A97" sqref="A97"/>
    </sheetView>
  </sheetViews>
  <sheetFormatPr defaultRowHeight="15.75" x14ac:dyDescent="0.25"/>
  <cols>
    <col min="1" max="1" width="72.875" style="25" customWidth="1"/>
    <col min="2" max="2" width="6.625" style="27" customWidth="1"/>
    <col min="3" max="3" width="7.375" style="145" customWidth="1"/>
    <col min="4" max="5" width="14.625" style="39" customWidth="1"/>
    <col min="6" max="7" width="13" style="39" customWidth="1"/>
    <col min="8" max="8" width="5.375" style="26" bestFit="1" customWidth="1"/>
    <col min="9" max="9" width="12.875" style="28" customWidth="1"/>
    <col min="10" max="10" width="10.5" style="27" customWidth="1"/>
    <col min="11" max="11" width="11.375" style="28" bestFit="1" customWidth="1"/>
    <col min="12" max="12" width="10.75" style="25" customWidth="1"/>
    <col min="13" max="13" width="14.875" style="25" customWidth="1"/>
    <col min="14" max="14" width="9" style="25"/>
    <col min="15" max="15" width="9" style="32"/>
    <col min="16" max="16" width="12.625" style="25" bestFit="1" customWidth="1"/>
    <col min="17" max="16384" width="9" style="25"/>
  </cols>
  <sheetData>
    <row r="1" spans="1:11" ht="80.25" customHeight="1" x14ac:dyDescent="0.25">
      <c r="A1" s="223" t="s">
        <v>111</v>
      </c>
      <c r="B1" s="37" t="s">
        <v>98</v>
      </c>
      <c r="C1" s="141" t="s">
        <v>99</v>
      </c>
      <c r="D1" s="151" t="s">
        <v>235</v>
      </c>
      <c r="E1" s="151" t="s">
        <v>226</v>
      </c>
      <c r="F1" s="260" t="s">
        <v>236</v>
      </c>
      <c r="G1" s="261"/>
      <c r="H1" s="256"/>
      <c r="I1" s="257"/>
      <c r="J1" s="258"/>
      <c r="K1" s="259"/>
    </row>
    <row r="2" spans="1:11" ht="16.5" x14ac:dyDescent="0.25">
      <c r="A2" s="122">
        <v>1</v>
      </c>
      <c r="B2" s="121">
        <v>2</v>
      </c>
      <c r="C2" s="143"/>
      <c r="D2" s="121">
        <v>4</v>
      </c>
      <c r="E2" s="121"/>
      <c r="F2" s="121">
        <v>6</v>
      </c>
      <c r="G2" s="121"/>
      <c r="H2" s="122">
        <v>7</v>
      </c>
      <c r="I2" s="121">
        <v>8</v>
      </c>
      <c r="J2" s="122">
        <v>9</v>
      </c>
      <c r="K2" s="121">
        <v>10</v>
      </c>
    </row>
    <row r="3" spans="1:11" x14ac:dyDescent="0.25">
      <c r="A3" s="103" t="s">
        <v>78</v>
      </c>
      <c r="B3" s="33"/>
      <c r="C3" s="141"/>
      <c r="D3" s="29"/>
      <c r="E3" s="29"/>
      <c r="F3" s="29"/>
      <c r="G3" s="29"/>
      <c r="H3" s="98"/>
      <c r="I3" s="99"/>
      <c r="J3" s="33"/>
      <c r="K3" s="99"/>
    </row>
    <row r="4" spans="1:11" x14ac:dyDescent="0.25">
      <c r="A4" s="106"/>
      <c r="B4" s="107"/>
      <c r="C4" s="144"/>
      <c r="D4" s="108"/>
      <c r="E4" s="108"/>
      <c r="F4" s="108"/>
      <c r="G4" s="108"/>
      <c r="H4" s="109"/>
      <c r="I4" s="110"/>
      <c r="J4" s="107"/>
      <c r="K4" s="110"/>
    </row>
    <row r="5" spans="1:11" x14ac:dyDescent="0.25">
      <c r="A5" s="103" t="s">
        <v>189</v>
      </c>
      <c r="B5" s="33"/>
      <c r="C5" s="141"/>
      <c r="D5" s="150"/>
      <c r="E5" s="150"/>
      <c r="F5" s="29"/>
      <c r="G5" s="29"/>
      <c r="H5" s="98"/>
      <c r="I5" s="99"/>
      <c r="J5" s="33"/>
      <c r="K5" s="99"/>
    </row>
    <row r="6" spans="1:11" x14ac:dyDescent="0.25">
      <c r="A6" s="166" t="s">
        <v>308</v>
      </c>
      <c r="B6" s="33" t="s">
        <v>7</v>
      </c>
      <c r="C6" s="185"/>
      <c r="D6" s="150">
        <f>E6/1.18</f>
        <v>18907.118644067799</v>
      </c>
      <c r="E6" s="150">
        <v>22310.400000000001</v>
      </c>
      <c r="F6" s="213" t="s">
        <v>314</v>
      </c>
      <c r="G6" s="213" t="s">
        <v>329</v>
      </c>
      <c r="H6" s="98"/>
      <c r="I6" s="99"/>
      <c r="J6" s="33"/>
      <c r="K6" s="99"/>
    </row>
    <row r="7" spans="1:11" x14ac:dyDescent="0.25">
      <c r="A7" s="166" t="s">
        <v>309</v>
      </c>
      <c r="B7" s="33" t="s">
        <v>7</v>
      </c>
      <c r="C7" s="185"/>
      <c r="D7" s="150">
        <f>E7/1.18</f>
        <v>21399.805084745763</v>
      </c>
      <c r="E7" s="150">
        <v>25251.77</v>
      </c>
      <c r="F7" s="213" t="s">
        <v>315</v>
      </c>
      <c r="G7" s="213" t="s">
        <v>330</v>
      </c>
      <c r="H7" s="98"/>
      <c r="I7" s="99"/>
      <c r="J7" s="33"/>
      <c r="K7" s="99"/>
    </row>
    <row r="8" spans="1:11" x14ac:dyDescent="0.25">
      <c r="A8" s="166" t="s">
        <v>332</v>
      </c>
      <c r="B8" s="33" t="s">
        <v>7</v>
      </c>
      <c r="C8" s="185"/>
      <c r="D8" s="150">
        <f>E8/1.18</f>
        <v>22229.050847457627</v>
      </c>
      <c r="E8" s="150">
        <v>26230.28</v>
      </c>
      <c r="F8" s="213" t="s">
        <v>316</v>
      </c>
      <c r="G8" s="213" t="s">
        <v>331</v>
      </c>
      <c r="H8" s="98"/>
      <c r="I8" s="99"/>
      <c r="J8" s="33"/>
      <c r="K8" s="99"/>
    </row>
    <row r="9" spans="1:11" x14ac:dyDescent="0.25">
      <c r="A9" s="166" t="s">
        <v>208</v>
      </c>
      <c r="B9" s="33" t="s">
        <v>7</v>
      </c>
      <c r="C9" s="185"/>
      <c r="D9" s="150">
        <f>E9/1.18</f>
        <v>9998.3050847457635</v>
      </c>
      <c r="E9" s="150">
        <v>11798</v>
      </c>
      <c r="F9" s="29"/>
      <c r="G9" s="29"/>
      <c r="H9" s="98"/>
      <c r="I9" s="99"/>
      <c r="J9" s="33"/>
      <c r="K9" s="99"/>
    </row>
    <row r="10" spans="1:11" x14ac:dyDescent="0.25">
      <c r="A10" s="166" t="s">
        <v>215</v>
      </c>
      <c r="B10" s="33" t="s">
        <v>7</v>
      </c>
      <c r="C10" s="185"/>
      <c r="D10" s="150">
        <f>E10/1.18</f>
        <v>8366.9491525423728</v>
      </c>
      <c r="E10" s="150">
        <v>9873</v>
      </c>
      <c r="F10" s="29"/>
      <c r="G10" s="29"/>
      <c r="H10" s="98"/>
      <c r="I10" s="99"/>
      <c r="J10" s="33"/>
      <c r="K10" s="99"/>
    </row>
    <row r="11" spans="1:11" x14ac:dyDescent="0.25">
      <c r="A11" s="166" t="s">
        <v>215</v>
      </c>
      <c r="B11" s="33" t="s">
        <v>7</v>
      </c>
      <c r="C11" s="185"/>
      <c r="D11" s="150"/>
      <c r="E11" s="150"/>
      <c r="F11" s="29"/>
      <c r="G11" s="29"/>
      <c r="H11" s="98"/>
      <c r="I11" s="99"/>
      <c r="J11" s="33"/>
      <c r="K11" s="99"/>
    </row>
    <row r="12" spans="1:11" x14ac:dyDescent="0.25">
      <c r="A12" s="167"/>
      <c r="B12" s="203"/>
      <c r="C12" s="200"/>
      <c r="D12" s="201"/>
      <c r="E12" s="201"/>
      <c r="F12" s="204"/>
      <c r="G12" s="108"/>
      <c r="H12" s="109"/>
      <c r="I12" s="110"/>
      <c r="J12" s="107"/>
      <c r="K12" s="110"/>
    </row>
    <row r="13" spans="1:11" x14ac:dyDescent="0.25">
      <c r="A13" s="103" t="s">
        <v>190</v>
      </c>
      <c r="B13" s="33"/>
      <c r="C13" s="141"/>
      <c r="D13" s="150"/>
      <c r="E13" s="150"/>
      <c r="F13" s="29"/>
      <c r="G13" s="29"/>
      <c r="H13" s="98"/>
      <c r="I13" s="99"/>
      <c r="J13" s="33"/>
      <c r="K13" s="99"/>
    </row>
    <row r="14" spans="1:11" x14ac:dyDescent="0.25">
      <c r="A14" s="166" t="s">
        <v>364</v>
      </c>
      <c r="B14" s="33" t="s">
        <v>7</v>
      </c>
      <c r="C14" s="185"/>
      <c r="D14" s="150">
        <f>E14/1.18</f>
        <v>9322.033898305086</v>
      </c>
      <c r="E14" s="150">
        <v>11000</v>
      </c>
      <c r="F14" s="213" t="s">
        <v>365</v>
      </c>
      <c r="G14" s="213">
        <v>11000</v>
      </c>
      <c r="H14" s="98"/>
      <c r="I14" s="99"/>
      <c r="J14" s="33"/>
      <c r="K14" s="99"/>
    </row>
    <row r="15" spans="1:11" x14ac:dyDescent="0.25">
      <c r="A15" s="166" t="s">
        <v>449</v>
      </c>
      <c r="B15" s="33"/>
      <c r="C15" s="185"/>
      <c r="D15" s="150">
        <f>E15/1.18</f>
        <v>3813.5593220338983</v>
      </c>
      <c r="E15" s="150">
        <v>4500</v>
      </c>
      <c r="F15" s="213" t="s">
        <v>450</v>
      </c>
      <c r="G15" s="213"/>
      <c r="H15" s="98"/>
      <c r="I15" s="99"/>
      <c r="J15" s="33"/>
      <c r="K15" s="99"/>
    </row>
    <row r="16" spans="1:11" x14ac:dyDescent="0.25">
      <c r="A16" s="166" t="s">
        <v>366</v>
      </c>
      <c r="B16" s="33" t="s">
        <v>7</v>
      </c>
      <c r="C16" s="185"/>
      <c r="D16" s="150">
        <f t="shared" ref="D16:D25" si="0">E16/1.18</f>
        <v>10681.745762711864</v>
      </c>
      <c r="E16" s="150">
        <v>12604.46</v>
      </c>
      <c r="F16" s="213" t="s">
        <v>367</v>
      </c>
      <c r="G16" s="213" t="s">
        <v>368</v>
      </c>
      <c r="H16" s="98"/>
      <c r="I16" s="99"/>
      <c r="J16" s="33"/>
      <c r="K16" s="99"/>
    </row>
    <row r="17" spans="1:16" x14ac:dyDescent="0.25">
      <c r="A17" s="166" t="s">
        <v>369</v>
      </c>
      <c r="B17" s="33" t="s">
        <v>7</v>
      </c>
      <c r="C17" s="185"/>
      <c r="D17" s="150">
        <f t="shared" si="0"/>
        <v>18389.830508474577</v>
      </c>
      <c r="E17" s="150">
        <v>21700</v>
      </c>
      <c r="F17" s="213" t="s">
        <v>370</v>
      </c>
      <c r="G17" s="213">
        <v>21700</v>
      </c>
      <c r="H17" s="98"/>
      <c r="I17" s="99"/>
      <c r="J17" s="33"/>
      <c r="K17" s="99"/>
    </row>
    <row r="18" spans="1:16" x14ac:dyDescent="0.25">
      <c r="A18" s="166" t="s">
        <v>371</v>
      </c>
      <c r="B18" s="33" t="s">
        <v>7</v>
      </c>
      <c r="C18" s="185"/>
      <c r="D18" s="150">
        <f t="shared" si="0"/>
        <v>5211.8644067796613</v>
      </c>
      <c r="E18" s="150">
        <v>6150</v>
      </c>
      <c r="F18" s="213" t="s">
        <v>372</v>
      </c>
      <c r="G18" s="213">
        <v>6150</v>
      </c>
      <c r="H18" s="98"/>
      <c r="I18" s="99"/>
      <c r="J18" s="33"/>
      <c r="K18" s="99"/>
    </row>
    <row r="19" spans="1:16" x14ac:dyDescent="0.25">
      <c r="A19" s="166" t="s">
        <v>451</v>
      </c>
      <c r="B19" s="33" t="s">
        <v>7</v>
      </c>
      <c r="C19" s="185"/>
      <c r="D19" s="150">
        <f t="shared" si="0"/>
        <v>4661.016949152543</v>
      </c>
      <c r="E19" s="150">
        <v>5500</v>
      </c>
      <c r="F19" s="213" t="s">
        <v>452</v>
      </c>
      <c r="G19" s="213"/>
      <c r="H19" s="98"/>
      <c r="I19" s="99"/>
      <c r="J19" s="33"/>
      <c r="K19" s="99"/>
    </row>
    <row r="20" spans="1:16" x14ac:dyDescent="0.25">
      <c r="A20" s="166" t="s">
        <v>439</v>
      </c>
      <c r="B20" s="33" t="s">
        <v>7</v>
      </c>
      <c r="C20" s="185"/>
      <c r="D20" s="150">
        <f t="shared" si="0"/>
        <v>5932.203389830509</v>
      </c>
      <c r="E20" s="150">
        <v>7000</v>
      </c>
      <c r="F20" s="213" t="s">
        <v>440</v>
      </c>
      <c r="G20" s="213">
        <v>7000</v>
      </c>
      <c r="H20" s="98"/>
      <c r="I20" s="99"/>
      <c r="J20" s="33"/>
      <c r="K20" s="99"/>
    </row>
    <row r="21" spans="1:16" x14ac:dyDescent="0.25">
      <c r="A21" s="166" t="s">
        <v>373</v>
      </c>
      <c r="B21" s="33" t="s">
        <v>7</v>
      </c>
      <c r="C21" s="185"/>
      <c r="D21" s="150">
        <f t="shared" si="0"/>
        <v>6779.6610169491532</v>
      </c>
      <c r="E21" s="150">
        <v>8000</v>
      </c>
      <c r="F21" s="213" t="s">
        <v>374</v>
      </c>
      <c r="G21" s="213">
        <v>8000</v>
      </c>
      <c r="H21" s="98"/>
      <c r="I21" s="99"/>
      <c r="J21" s="33"/>
      <c r="K21" s="99"/>
    </row>
    <row r="22" spans="1:16" x14ac:dyDescent="0.25">
      <c r="A22" s="166" t="s">
        <v>375</v>
      </c>
      <c r="B22" s="33" t="s">
        <v>7</v>
      </c>
      <c r="C22" s="185"/>
      <c r="D22" s="150">
        <f t="shared" si="0"/>
        <v>16525.423728813559</v>
      </c>
      <c r="E22" s="150">
        <v>19500</v>
      </c>
      <c r="F22" s="213" t="s">
        <v>376</v>
      </c>
      <c r="G22" s="213">
        <v>19500</v>
      </c>
      <c r="H22" s="98"/>
      <c r="I22" s="99"/>
      <c r="J22" s="33"/>
      <c r="K22" s="99"/>
    </row>
    <row r="23" spans="1:16" x14ac:dyDescent="0.25">
      <c r="A23" s="166" t="s">
        <v>377</v>
      </c>
      <c r="B23" s="33" t="s">
        <v>7</v>
      </c>
      <c r="C23" s="185"/>
      <c r="D23" s="150">
        <f t="shared" si="0"/>
        <v>16525.423728813559</v>
      </c>
      <c r="E23" s="150">
        <v>19500</v>
      </c>
      <c r="F23" s="213" t="s">
        <v>378</v>
      </c>
      <c r="G23" s="213">
        <v>19500</v>
      </c>
      <c r="H23" s="98"/>
      <c r="I23" s="99"/>
      <c r="J23" s="33"/>
      <c r="K23" s="99"/>
    </row>
    <row r="24" spans="1:16" x14ac:dyDescent="0.25">
      <c r="A24" s="166" t="s">
        <v>379</v>
      </c>
      <c r="B24" s="33" t="s">
        <v>7</v>
      </c>
      <c r="C24" s="185"/>
      <c r="D24" s="150">
        <f t="shared" si="0"/>
        <v>5508.4745762711864</v>
      </c>
      <c r="E24" s="206">
        <v>6500</v>
      </c>
      <c r="F24" s="213" t="s">
        <v>380</v>
      </c>
      <c r="G24" s="213">
        <v>6500</v>
      </c>
      <c r="H24" s="98"/>
      <c r="I24" s="99"/>
      <c r="J24" s="33"/>
      <c r="K24" s="99"/>
    </row>
    <row r="25" spans="1:16" x14ac:dyDescent="0.25">
      <c r="A25" s="166" t="s">
        <v>381</v>
      </c>
      <c r="B25" s="33" t="s">
        <v>7</v>
      </c>
      <c r="C25" s="185"/>
      <c r="D25" s="150">
        <f t="shared" si="0"/>
        <v>7711.8644067796613</v>
      </c>
      <c r="E25" s="206">
        <v>9100</v>
      </c>
      <c r="F25" s="213" t="s">
        <v>382</v>
      </c>
      <c r="G25" s="213">
        <v>9100</v>
      </c>
      <c r="H25" s="98"/>
      <c r="I25" s="99"/>
      <c r="J25" s="33"/>
      <c r="K25" s="99"/>
    </row>
    <row r="26" spans="1:16" x14ac:dyDescent="0.25">
      <c r="A26" s="166" t="s">
        <v>441</v>
      </c>
      <c r="B26" s="33" t="s">
        <v>7</v>
      </c>
      <c r="C26" s="185"/>
      <c r="D26" s="150">
        <f>E26/1.18</f>
        <v>3220.3389830508477</v>
      </c>
      <c r="E26" s="150">
        <v>3800</v>
      </c>
      <c r="F26" s="213" t="s">
        <v>442</v>
      </c>
      <c r="G26" s="213">
        <v>3800</v>
      </c>
      <c r="H26" s="98"/>
      <c r="I26" s="99"/>
      <c r="J26" s="33"/>
      <c r="K26" s="99"/>
    </row>
    <row r="27" spans="1:16" x14ac:dyDescent="0.25">
      <c r="A27" s="166" t="s">
        <v>443</v>
      </c>
      <c r="B27" s="33"/>
      <c r="C27" s="185"/>
      <c r="D27" s="150">
        <f t="shared" ref="D27:D29" si="1">E27/1.18</f>
        <v>9672.0508474576272</v>
      </c>
      <c r="E27" s="150">
        <v>11413.02</v>
      </c>
      <c r="F27" s="213" t="s">
        <v>444</v>
      </c>
      <c r="G27" s="213">
        <v>11413.02</v>
      </c>
      <c r="H27" s="98"/>
      <c r="I27" s="99"/>
      <c r="J27" s="33"/>
      <c r="K27" s="99"/>
    </row>
    <row r="28" spans="1:16" x14ac:dyDescent="0.25">
      <c r="A28" s="166" t="s">
        <v>445</v>
      </c>
      <c r="B28" s="33"/>
      <c r="C28" s="185"/>
      <c r="D28" s="150">
        <f t="shared" si="1"/>
        <v>6779.6610169491532</v>
      </c>
      <c r="E28" s="150">
        <v>8000</v>
      </c>
      <c r="F28" s="213" t="s">
        <v>446</v>
      </c>
      <c r="G28" s="213">
        <v>8000</v>
      </c>
      <c r="H28" s="98"/>
      <c r="I28" s="99"/>
      <c r="J28" s="33"/>
      <c r="K28" s="99"/>
    </row>
    <row r="29" spans="1:16" x14ac:dyDescent="0.25">
      <c r="A29" s="166" t="s">
        <v>447</v>
      </c>
      <c r="B29" s="33"/>
      <c r="C29" s="185"/>
      <c r="D29" s="150">
        <f t="shared" si="1"/>
        <v>7484.4576271186443</v>
      </c>
      <c r="E29" s="150">
        <v>8831.66</v>
      </c>
      <c r="F29" s="213" t="s">
        <v>448</v>
      </c>
      <c r="G29" s="213">
        <v>8831.66</v>
      </c>
      <c r="H29" s="98"/>
      <c r="I29" s="99"/>
      <c r="J29" s="33"/>
      <c r="K29" s="99"/>
    </row>
    <row r="30" spans="1:16" x14ac:dyDescent="0.25">
      <c r="A30" s="106"/>
      <c r="B30" s="203"/>
      <c r="C30" s="200"/>
      <c r="D30" s="201"/>
      <c r="E30" s="201"/>
      <c r="F30" s="204"/>
      <c r="G30" s="108"/>
      <c r="H30" s="109"/>
      <c r="I30" s="110"/>
      <c r="J30" s="107"/>
      <c r="K30" s="110"/>
    </row>
    <row r="31" spans="1:16" x14ac:dyDescent="0.25">
      <c r="A31" s="103" t="s">
        <v>152</v>
      </c>
      <c r="B31" s="33"/>
      <c r="C31" s="141"/>
      <c r="D31" s="150"/>
      <c r="E31" s="150"/>
      <c r="F31" s="29"/>
      <c r="G31" s="29"/>
      <c r="H31" s="98"/>
      <c r="I31" s="99"/>
      <c r="J31" s="33"/>
      <c r="K31" s="99"/>
    </row>
    <row r="32" spans="1:16" x14ac:dyDescent="0.25">
      <c r="A32" s="97" t="s">
        <v>77</v>
      </c>
      <c r="B32" s="33" t="s">
        <v>7</v>
      </c>
      <c r="C32" s="185"/>
      <c r="D32" s="150">
        <f t="shared" ref="D32:D44" si="2">E32/1.18</f>
        <v>2580.5084745762715</v>
      </c>
      <c r="E32" s="150">
        <v>3045</v>
      </c>
      <c r="F32" s="211" t="s">
        <v>336</v>
      </c>
      <c r="G32" s="211" t="s">
        <v>335</v>
      </c>
      <c r="H32" s="98"/>
      <c r="I32" s="99"/>
      <c r="J32" s="33"/>
      <c r="K32" s="99"/>
      <c r="M32" s="32"/>
      <c r="N32" s="32"/>
      <c r="P32" s="32"/>
    </row>
    <row r="33" spans="1:16" x14ac:dyDescent="0.25">
      <c r="A33" s="97" t="s">
        <v>209</v>
      </c>
      <c r="B33" s="33"/>
      <c r="C33" s="185"/>
      <c r="D33" s="150">
        <f t="shared" si="2"/>
        <v>3114.406779661017</v>
      </c>
      <c r="E33" s="150">
        <v>3675</v>
      </c>
      <c r="F33" s="211" t="s">
        <v>334</v>
      </c>
      <c r="G33" s="211" t="s">
        <v>333</v>
      </c>
      <c r="H33" s="98"/>
      <c r="I33" s="99"/>
      <c r="J33" s="33"/>
      <c r="K33" s="99"/>
      <c r="M33" s="32"/>
      <c r="N33" s="32"/>
      <c r="P33" s="32"/>
    </row>
    <row r="34" spans="1:16" x14ac:dyDescent="0.25">
      <c r="A34" s="97" t="s">
        <v>212</v>
      </c>
      <c r="B34" s="33" t="s">
        <v>7</v>
      </c>
      <c r="C34" s="185"/>
      <c r="D34" s="150">
        <f t="shared" si="2"/>
        <v>5072.0338983050851</v>
      </c>
      <c r="E34" s="150">
        <v>5985</v>
      </c>
      <c r="F34" s="211" t="s">
        <v>338</v>
      </c>
      <c r="G34" s="211" t="s">
        <v>337</v>
      </c>
      <c r="H34" s="98"/>
      <c r="I34" s="99"/>
      <c r="J34" s="33"/>
      <c r="K34" s="99"/>
      <c r="M34" s="32"/>
      <c r="N34" s="32"/>
      <c r="P34" s="32"/>
    </row>
    <row r="35" spans="1:16" x14ac:dyDescent="0.25">
      <c r="A35" s="97" t="s">
        <v>213</v>
      </c>
      <c r="B35" s="33" t="s">
        <v>7</v>
      </c>
      <c r="C35" s="185"/>
      <c r="D35" s="150">
        <f t="shared" si="2"/>
        <v>5072.0338983050851</v>
      </c>
      <c r="E35" s="150">
        <v>5985</v>
      </c>
      <c r="F35" s="211" t="s">
        <v>339</v>
      </c>
      <c r="G35" s="211" t="s">
        <v>337</v>
      </c>
      <c r="H35" s="98"/>
      <c r="I35" s="99"/>
      <c r="J35" s="33"/>
      <c r="K35" s="99"/>
      <c r="M35" s="32"/>
      <c r="N35" s="32"/>
      <c r="P35" s="32"/>
    </row>
    <row r="36" spans="1:16" x14ac:dyDescent="0.25">
      <c r="A36" s="97" t="s">
        <v>214</v>
      </c>
      <c r="B36" s="33" t="s">
        <v>7</v>
      </c>
      <c r="C36" s="185"/>
      <c r="D36" s="150">
        <f t="shared" si="2"/>
        <v>5072.0338983050851</v>
      </c>
      <c r="E36" s="150">
        <v>5985</v>
      </c>
      <c r="F36" s="211" t="s">
        <v>340</v>
      </c>
      <c r="G36" s="211" t="s">
        <v>337</v>
      </c>
      <c r="H36" s="98"/>
      <c r="I36" s="99"/>
      <c r="J36" s="33"/>
      <c r="K36" s="99"/>
      <c r="M36" s="32"/>
      <c r="N36" s="32"/>
      <c r="P36" s="32"/>
    </row>
    <row r="37" spans="1:16" ht="78.75" x14ac:dyDescent="0.25">
      <c r="A37" s="190" t="s">
        <v>341</v>
      </c>
      <c r="B37" s="33" t="s">
        <v>7</v>
      </c>
      <c r="C37" s="185"/>
      <c r="D37" s="198">
        <f t="shared" si="2"/>
        <v>9031.7796610169498</v>
      </c>
      <c r="E37" s="150">
        <v>10657.5</v>
      </c>
      <c r="F37" s="212" t="s">
        <v>313</v>
      </c>
      <c r="G37" s="212" t="s">
        <v>343</v>
      </c>
      <c r="H37" s="98"/>
      <c r="I37" s="99"/>
      <c r="J37" s="33"/>
      <c r="K37" s="99"/>
      <c r="M37" s="32"/>
      <c r="N37" s="32"/>
      <c r="P37" s="32"/>
    </row>
    <row r="38" spans="1:16" ht="63" x14ac:dyDescent="0.25">
      <c r="A38" s="190" t="s">
        <v>342</v>
      </c>
      <c r="B38" s="33" t="s">
        <v>7</v>
      </c>
      <c r="C38" s="185"/>
      <c r="D38" s="198">
        <f t="shared" si="2"/>
        <v>6629.2372881355932</v>
      </c>
      <c r="E38" s="150">
        <v>7822.5</v>
      </c>
      <c r="F38" s="212" t="s">
        <v>311</v>
      </c>
      <c r="G38" s="212" t="s">
        <v>344</v>
      </c>
      <c r="H38" s="98"/>
      <c r="I38" s="99"/>
      <c r="J38" s="33"/>
      <c r="K38" s="99"/>
      <c r="M38" s="214"/>
      <c r="N38" s="32"/>
      <c r="P38" s="32"/>
    </row>
    <row r="39" spans="1:16" ht="63" x14ac:dyDescent="0.25">
      <c r="A39" s="190" t="s">
        <v>310</v>
      </c>
      <c r="B39" s="33" t="s">
        <v>7</v>
      </c>
      <c r="C39" s="185"/>
      <c r="D39" s="198">
        <f t="shared" si="2"/>
        <v>5828.3898305084749</v>
      </c>
      <c r="E39" s="150">
        <v>6877.5</v>
      </c>
      <c r="F39" s="212" t="s">
        <v>312</v>
      </c>
      <c r="G39" s="212" t="s">
        <v>345</v>
      </c>
      <c r="H39" s="98"/>
      <c r="I39" s="99"/>
      <c r="J39" s="33"/>
      <c r="K39" s="99"/>
      <c r="M39" s="32"/>
      <c r="N39" s="32"/>
      <c r="P39" s="32"/>
    </row>
    <row r="40" spans="1:16" x14ac:dyDescent="0.25">
      <c r="A40" s="97" t="s">
        <v>210</v>
      </c>
      <c r="B40" s="33" t="s">
        <v>7</v>
      </c>
      <c r="C40" s="185"/>
      <c r="D40" s="150">
        <f t="shared" si="2"/>
        <v>14951.889830508475</v>
      </c>
      <c r="E40" s="150">
        <v>17643.23</v>
      </c>
      <c r="F40" s="142"/>
      <c r="G40" s="142"/>
      <c r="H40" s="98"/>
      <c r="I40" s="99"/>
      <c r="J40" s="33"/>
      <c r="K40" s="99"/>
      <c r="M40" s="32"/>
      <c r="N40" s="32"/>
      <c r="P40" s="32"/>
    </row>
    <row r="41" spans="1:16" x14ac:dyDescent="0.25">
      <c r="A41" s="97" t="s">
        <v>211</v>
      </c>
      <c r="B41" s="33" t="s">
        <v>7</v>
      </c>
      <c r="C41" s="185"/>
      <c r="D41" s="150">
        <f t="shared" si="2"/>
        <v>15922.78813559322</v>
      </c>
      <c r="E41" s="150">
        <v>18788.89</v>
      </c>
      <c r="F41" s="142"/>
      <c r="G41" s="142"/>
      <c r="H41" s="98"/>
      <c r="I41" s="99"/>
      <c r="J41" s="33"/>
      <c r="K41" s="99"/>
      <c r="M41" s="32"/>
      <c r="N41" s="32"/>
      <c r="P41" s="32"/>
    </row>
    <row r="42" spans="1:16" x14ac:dyDescent="0.25">
      <c r="A42" s="97" t="s">
        <v>212</v>
      </c>
      <c r="B42" s="33" t="s">
        <v>7</v>
      </c>
      <c r="C42" s="185"/>
      <c r="D42" s="150">
        <f t="shared" si="2"/>
        <v>4805.9661016949158</v>
      </c>
      <c r="E42" s="150">
        <v>5671.04</v>
      </c>
      <c r="F42" s="142"/>
      <c r="G42" s="142"/>
      <c r="H42" s="98"/>
      <c r="I42" s="99"/>
      <c r="J42" s="33"/>
      <c r="K42" s="99"/>
      <c r="M42" s="32"/>
      <c r="N42" s="32"/>
      <c r="P42" s="32"/>
    </row>
    <row r="43" spans="1:16" x14ac:dyDescent="0.25">
      <c r="A43" s="97" t="s">
        <v>213</v>
      </c>
      <c r="B43" s="33" t="s">
        <v>7</v>
      </c>
      <c r="C43" s="185"/>
      <c r="D43" s="150">
        <f t="shared" si="2"/>
        <v>4805.9661016949158</v>
      </c>
      <c r="E43" s="150">
        <v>5671.04</v>
      </c>
      <c r="F43" s="142"/>
      <c r="G43" s="142"/>
      <c r="H43" s="98"/>
      <c r="I43" s="99"/>
      <c r="J43" s="33"/>
      <c r="K43" s="99"/>
      <c r="M43" s="32"/>
      <c r="N43" s="32"/>
      <c r="P43" s="32"/>
    </row>
    <row r="44" spans="1:16" x14ac:dyDescent="0.25">
      <c r="A44" s="97" t="s">
        <v>214</v>
      </c>
      <c r="B44" s="33" t="s">
        <v>7</v>
      </c>
      <c r="C44" s="185"/>
      <c r="D44" s="150">
        <f t="shared" si="2"/>
        <v>4805.9661016949158</v>
      </c>
      <c r="E44" s="150">
        <v>5671.04</v>
      </c>
      <c r="F44" s="142"/>
      <c r="G44" s="142"/>
      <c r="H44" s="98"/>
      <c r="I44" s="99"/>
      <c r="J44" s="33"/>
      <c r="K44" s="99"/>
      <c r="M44" s="32"/>
      <c r="N44" s="32"/>
      <c r="P44" s="32"/>
    </row>
    <row r="45" spans="1:16" x14ac:dyDescent="0.25">
      <c r="A45" s="199"/>
      <c r="B45" s="203"/>
      <c r="C45" s="200"/>
      <c r="D45" s="201"/>
      <c r="E45" s="201"/>
      <c r="F45" s="202"/>
      <c r="G45" s="147"/>
      <c r="H45" s="109"/>
      <c r="I45" s="110"/>
      <c r="J45" s="107"/>
      <c r="K45" s="110"/>
      <c r="M45" s="32"/>
      <c r="N45" s="32"/>
      <c r="P45" s="32"/>
    </row>
    <row r="46" spans="1:16" x14ac:dyDescent="0.25">
      <c r="A46" s="103" t="s">
        <v>150</v>
      </c>
      <c r="B46" s="33"/>
      <c r="C46" s="141"/>
      <c r="D46" s="150"/>
      <c r="E46" s="150"/>
      <c r="F46" s="142"/>
      <c r="G46" s="142"/>
      <c r="H46" s="98"/>
      <c r="I46" s="99"/>
      <c r="J46" s="33"/>
      <c r="K46" s="99"/>
      <c r="M46" s="32"/>
      <c r="N46" s="32"/>
      <c r="P46" s="32"/>
    </row>
    <row r="47" spans="1:16" x14ac:dyDescent="0.25">
      <c r="A47" s="166" t="s">
        <v>351</v>
      </c>
      <c r="B47" s="33" t="s">
        <v>7</v>
      </c>
      <c r="C47" s="186"/>
      <c r="D47" s="150">
        <f t="shared" ref="D47:D54" si="3">E47/1.18</f>
        <v>6949.5762711864409</v>
      </c>
      <c r="E47" s="150">
        <v>8200.5</v>
      </c>
      <c r="F47" s="211" t="s">
        <v>352</v>
      </c>
      <c r="G47" s="211" t="s">
        <v>353</v>
      </c>
      <c r="H47" s="98"/>
      <c r="I47" s="99"/>
      <c r="J47" s="33"/>
      <c r="K47" s="99"/>
      <c r="M47" s="32"/>
      <c r="N47" s="32"/>
      <c r="P47" s="32"/>
    </row>
    <row r="48" spans="1:16" x14ac:dyDescent="0.25">
      <c r="A48" s="166" t="s">
        <v>127</v>
      </c>
      <c r="B48" s="33" t="s">
        <v>7</v>
      </c>
      <c r="C48" s="186"/>
      <c r="D48" s="150">
        <f t="shared" si="3"/>
        <v>7066.5</v>
      </c>
      <c r="E48" s="150">
        <v>8338.4699999999993</v>
      </c>
      <c r="F48" s="211" t="s">
        <v>346</v>
      </c>
      <c r="G48" s="211" t="s">
        <v>347</v>
      </c>
      <c r="H48" s="98"/>
      <c r="I48" s="99"/>
      <c r="J48" s="33"/>
      <c r="K48" s="99"/>
      <c r="M48" s="32"/>
      <c r="N48" s="32"/>
      <c r="P48" s="32"/>
    </row>
    <row r="49" spans="1:16" x14ac:dyDescent="0.25">
      <c r="A49" s="166"/>
      <c r="B49" s="33" t="s">
        <v>7</v>
      </c>
      <c r="C49" s="186"/>
      <c r="D49" s="150">
        <f t="shared" si="3"/>
        <v>0</v>
      </c>
      <c r="E49" s="150"/>
      <c r="F49" s="142"/>
      <c r="G49" s="142"/>
      <c r="H49" s="98"/>
      <c r="I49" s="99"/>
      <c r="J49" s="33"/>
      <c r="K49" s="99"/>
      <c r="M49" s="32"/>
      <c r="N49" s="32"/>
      <c r="P49" s="32"/>
    </row>
    <row r="50" spans="1:16" x14ac:dyDescent="0.25">
      <c r="A50" s="166" t="s">
        <v>354</v>
      </c>
      <c r="B50" s="33" t="s">
        <v>7</v>
      </c>
      <c r="C50" s="186"/>
      <c r="D50" s="150">
        <f t="shared" si="3"/>
        <v>14667.525423728815</v>
      </c>
      <c r="E50" s="150">
        <v>17307.68</v>
      </c>
      <c r="F50" s="211" t="s">
        <v>355</v>
      </c>
      <c r="G50" s="211" t="s">
        <v>356</v>
      </c>
      <c r="H50" s="98"/>
      <c r="I50" s="99"/>
      <c r="J50" s="33"/>
      <c r="K50" s="99"/>
      <c r="M50" s="32"/>
      <c r="N50" s="32"/>
      <c r="P50" s="32"/>
    </row>
    <row r="51" spans="1:16" x14ac:dyDescent="0.25">
      <c r="A51" s="166" t="s">
        <v>349</v>
      </c>
      <c r="B51" s="33" t="s">
        <v>7</v>
      </c>
      <c r="C51" s="186"/>
      <c r="D51" s="150">
        <f t="shared" si="3"/>
        <v>15750</v>
      </c>
      <c r="E51" s="150">
        <v>18585</v>
      </c>
      <c r="F51" s="211" t="s">
        <v>348</v>
      </c>
      <c r="G51" s="211" t="s">
        <v>350</v>
      </c>
      <c r="H51" s="98"/>
      <c r="I51" s="99"/>
      <c r="J51" s="33"/>
      <c r="K51" s="99"/>
      <c r="M51" s="32"/>
      <c r="N51" s="32"/>
      <c r="P51" s="32"/>
    </row>
    <row r="52" spans="1:16" x14ac:dyDescent="0.25">
      <c r="A52" s="166" t="s">
        <v>357</v>
      </c>
      <c r="B52" s="33" t="s">
        <v>7</v>
      </c>
      <c r="C52" s="185"/>
      <c r="D52" s="150">
        <f t="shared" si="3"/>
        <v>23750.91525423729</v>
      </c>
      <c r="E52" s="150">
        <v>28026.080000000002</v>
      </c>
      <c r="F52" s="211" t="s">
        <v>358</v>
      </c>
      <c r="G52" s="211" t="s">
        <v>359</v>
      </c>
      <c r="H52" s="98"/>
      <c r="I52" s="99"/>
      <c r="J52" s="33"/>
      <c r="K52" s="99"/>
      <c r="M52" s="32"/>
      <c r="N52" s="32"/>
      <c r="P52" s="32"/>
    </row>
    <row r="53" spans="1:16" x14ac:dyDescent="0.25">
      <c r="A53" s="166" t="s">
        <v>360</v>
      </c>
      <c r="B53" s="33" t="s">
        <v>7</v>
      </c>
      <c r="C53" s="185"/>
      <c r="D53" s="150">
        <f t="shared" si="3"/>
        <v>15748.949152542373</v>
      </c>
      <c r="E53" s="150">
        <v>18583.759999999998</v>
      </c>
      <c r="F53" s="211" t="s">
        <v>361</v>
      </c>
      <c r="G53" s="211" t="s">
        <v>362</v>
      </c>
      <c r="H53" s="98"/>
      <c r="I53" s="99"/>
      <c r="J53" s="33"/>
      <c r="K53" s="99"/>
      <c r="M53" s="32"/>
      <c r="N53" s="32"/>
      <c r="P53" s="32"/>
    </row>
    <row r="54" spans="1:16" x14ac:dyDescent="0.25">
      <c r="A54" s="166" t="s">
        <v>79</v>
      </c>
      <c r="B54" s="33" t="s">
        <v>7</v>
      </c>
      <c r="C54" s="186"/>
      <c r="D54" s="150">
        <f t="shared" si="3"/>
        <v>3045</v>
      </c>
      <c r="E54" s="150">
        <v>3593.1</v>
      </c>
      <c r="F54" s="211" t="s">
        <v>183</v>
      </c>
      <c r="G54" s="211" t="s">
        <v>363</v>
      </c>
      <c r="H54" s="98"/>
      <c r="I54" s="99"/>
      <c r="J54" s="33"/>
      <c r="K54" s="99"/>
      <c r="M54" s="32"/>
      <c r="N54" s="32"/>
      <c r="P54" s="32"/>
    </row>
    <row r="55" spans="1:16" x14ac:dyDescent="0.25">
      <c r="A55" s="111"/>
      <c r="B55" s="203"/>
      <c r="C55" s="200"/>
      <c r="D55" s="201"/>
      <c r="E55" s="201"/>
      <c r="F55" s="202"/>
      <c r="G55" s="147"/>
      <c r="H55" s="109"/>
      <c r="I55" s="110"/>
      <c r="J55" s="107"/>
      <c r="K55" s="110"/>
      <c r="M55" s="32"/>
      <c r="N55" s="32"/>
      <c r="P55" s="32"/>
    </row>
    <row r="56" spans="1:16" x14ac:dyDescent="0.25">
      <c r="A56" s="103" t="s">
        <v>151</v>
      </c>
      <c r="B56" s="33"/>
      <c r="C56" s="141"/>
      <c r="D56" s="150"/>
      <c r="E56" s="150"/>
      <c r="F56" s="142"/>
      <c r="G56" s="142"/>
      <c r="H56" s="98"/>
      <c r="I56" s="99"/>
      <c r="J56" s="33"/>
      <c r="K56" s="99"/>
      <c r="M56" s="32"/>
      <c r="N56" s="32"/>
      <c r="P56" s="32"/>
    </row>
    <row r="57" spans="1:16" ht="80.25" customHeight="1" x14ac:dyDescent="0.25">
      <c r="A57" s="188" t="s">
        <v>297</v>
      </c>
      <c r="B57" s="33" t="s">
        <v>7</v>
      </c>
      <c r="C57" s="185"/>
      <c r="D57" s="198">
        <f t="shared" ref="D57:D67" si="4">E57/1.18</f>
        <v>10500.737288135595</v>
      </c>
      <c r="E57" s="150">
        <v>12390.87</v>
      </c>
      <c r="F57" s="212" t="s">
        <v>243</v>
      </c>
      <c r="G57" s="212" t="s">
        <v>320</v>
      </c>
      <c r="H57" s="98"/>
      <c r="I57" s="99"/>
      <c r="J57" s="33"/>
      <c r="K57" s="99"/>
      <c r="M57" s="28" t="s">
        <v>242</v>
      </c>
      <c r="P57" s="32"/>
    </row>
    <row r="58" spans="1:16" ht="63" x14ac:dyDescent="0.25">
      <c r="A58" s="188" t="s">
        <v>298</v>
      </c>
      <c r="B58" s="33" t="s">
        <v>7</v>
      </c>
      <c r="C58" s="187"/>
      <c r="D58" s="198">
        <f t="shared" si="4"/>
        <v>6401.3220338983056</v>
      </c>
      <c r="E58" s="150">
        <v>7553.56</v>
      </c>
      <c r="F58" s="212" t="s">
        <v>322</v>
      </c>
      <c r="G58" s="212" t="s">
        <v>321</v>
      </c>
      <c r="H58" s="98"/>
      <c r="I58" s="99"/>
      <c r="J58" s="33"/>
      <c r="K58" s="99"/>
      <c r="M58" s="28" t="s">
        <v>244</v>
      </c>
      <c r="N58" s="32"/>
      <c r="P58" s="32"/>
    </row>
    <row r="59" spans="1:16" ht="63" x14ac:dyDescent="0.25">
      <c r="A59" s="188" t="s">
        <v>299</v>
      </c>
      <c r="B59" s="33" t="s">
        <v>7</v>
      </c>
      <c r="C59" s="185"/>
      <c r="D59" s="198">
        <f t="shared" si="4"/>
        <v>7802.6779661016953</v>
      </c>
      <c r="E59" s="150">
        <v>9207.16</v>
      </c>
      <c r="F59" s="212" t="s">
        <v>246</v>
      </c>
      <c r="G59" s="212" t="s">
        <v>323</v>
      </c>
      <c r="H59" s="98"/>
      <c r="I59" s="99"/>
      <c r="J59" s="33"/>
      <c r="K59" s="99"/>
      <c r="M59" s="28" t="s">
        <v>245</v>
      </c>
      <c r="N59" s="32"/>
      <c r="P59" s="32"/>
    </row>
    <row r="60" spans="1:16" ht="78.75" x14ac:dyDescent="0.25">
      <c r="A60" s="188" t="s">
        <v>300</v>
      </c>
      <c r="B60" s="33" t="s">
        <v>7</v>
      </c>
      <c r="C60" s="185"/>
      <c r="D60" s="198">
        <f t="shared" si="4"/>
        <v>22221.194915254237</v>
      </c>
      <c r="E60" s="150">
        <v>26221.01</v>
      </c>
      <c r="F60" s="212" t="s">
        <v>248</v>
      </c>
      <c r="G60" s="212" t="s">
        <v>324</v>
      </c>
      <c r="H60" s="98"/>
      <c r="I60" s="99"/>
      <c r="J60" s="33"/>
      <c r="K60" s="99"/>
      <c r="M60" s="28" t="s">
        <v>247</v>
      </c>
      <c r="N60" s="32"/>
      <c r="P60" s="32"/>
    </row>
    <row r="61" spans="1:16" ht="94.5" x14ac:dyDescent="0.25">
      <c r="A61" s="188" t="s">
        <v>301</v>
      </c>
      <c r="B61" s="33" t="s">
        <v>7</v>
      </c>
      <c r="C61" s="185"/>
      <c r="D61" s="198">
        <f t="shared" si="4"/>
        <v>18349.677966101695</v>
      </c>
      <c r="E61" s="150">
        <v>21652.62</v>
      </c>
      <c r="F61" s="212" t="s">
        <v>250</v>
      </c>
      <c r="G61" s="212" t="s">
        <v>325</v>
      </c>
      <c r="H61" s="98"/>
      <c r="I61" s="99"/>
      <c r="J61" s="33"/>
      <c r="K61" s="99"/>
      <c r="M61" s="28" t="s">
        <v>249</v>
      </c>
      <c r="N61" s="32"/>
      <c r="P61" s="32"/>
    </row>
    <row r="62" spans="1:16" ht="78.75" x14ac:dyDescent="0.25">
      <c r="A62" s="188" t="s">
        <v>302</v>
      </c>
      <c r="B62" s="33" t="s">
        <v>7</v>
      </c>
      <c r="C62" s="185"/>
      <c r="D62" s="198">
        <f t="shared" si="4"/>
        <v>15591.974576271186</v>
      </c>
      <c r="E62" s="198">
        <v>18398.53</v>
      </c>
      <c r="F62" s="212" t="s">
        <v>252</v>
      </c>
      <c r="G62" s="212" t="s">
        <v>319</v>
      </c>
      <c r="H62" s="98"/>
      <c r="I62" s="99"/>
      <c r="J62" s="33"/>
      <c r="K62" s="99"/>
      <c r="M62" s="28" t="s">
        <v>251</v>
      </c>
      <c r="N62" s="32"/>
      <c r="P62" s="32"/>
    </row>
    <row r="63" spans="1:16" ht="78.75" x14ac:dyDescent="0.25">
      <c r="A63" s="194" t="s">
        <v>303</v>
      </c>
      <c r="B63" s="33" t="s">
        <v>7</v>
      </c>
      <c r="C63" s="185"/>
      <c r="D63" s="198">
        <f t="shared" si="4"/>
        <v>16970.872881355936</v>
      </c>
      <c r="E63" s="150">
        <v>20025.63</v>
      </c>
      <c r="F63" s="212" t="s">
        <v>254</v>
      </c>
      <c r="G63" s="212" t="s">
        <v>326</v>
      </c>
      <c r="H63" s="98"/>
      <c r="I63" s="99"/>
      <c r="J63" s="33"/>
      <c r="K63" s="99"/>
      <c r="M63" s="28" t="s">
        <v>253</v>
      </c>
      <c r="N63" s="32"/>
      <c r="P63" s="32"/>
    </row>
    <row r="64" spans="1:16" ht="18.75" x14ac:dyDescent="0.3">
      <c r="A64" s="166" t="s">
        <v>217</v>
      </c>
      <c r="B64" s="33" t="s">
        <v>7</v>
      </c>
      <c r="C64" s="185"/>
      <c r="D64" s="150">
        <f t="shared" si="4"/>
        <v>181450</v>
      </c>
      <c r="E64" s="150">
        <v>214111</v>
      </c>
      <c r="F64" s="142"/>
      <c r="G64" s="142"/>
      <c r="H64" s="98"/>
      <c r="I64" s="99"/>
      <c r="J64" s="33"/>
      <c r="K64" s="99"/>
      <c r="M64" s="32"/>
      <c r="N64" s="32"/>
      <c r="P64" s="32"/>
    </row>
    <row r="65" spans="1:16" x14ac:dyDescent="0.25">
      <c r="A65" s="166" t="s">
        <v>218</v>
      </c>
      <c r="B65" s="33" t="s">
        <v>7</v>
      </c>
      <c r="C65" s="185"/>
      <c r="D65" s="150">
        <f t="shared" si="4"/>
        <v>181450</v>
      </c>
      <c r="E65" s="150">
        <v>214111</v>
      </c>
      <c r="F65" s="142"/>
      <c r="G65" s="142"/>
      <c r="H65" s="98"/>
      <c r="I65" s="99"/>
      <c r="J65" s="33"/>
      <c r="K65" s="99"/>
      <c r="M65" s="32"/>
      <c r="N65" s="32"/>
      <c r="P65" s="32"/>
    </row>
    <row r="66" spans="1:16" x14ac:dyDescent="0.25">
      <c r="A66" s="166" t="s">
        <v>146</v>
      </c>
      <c r="B66" s="33" t="s">
        <v>7</v>
      </c>
      <c r="C66" s="185"/>
      <c r="D66" s="150">
        <f t="shared" si="4"/>
        <v>1697.0762711864406</v>
      </c>
      <c r="E66" s="150">
        <v>2002.55</v>
      </c>
      <c r="F66" s="211" t="s">
        <v>328</v>
      </c>
      <c r="G66" s="211" t="s">
        <v>327</v>
      </c>
      <c r="H66" s="98"/>
      <c r="I66" s="99"/>
      <c r="J66" s="33"/>
      <c r="K66" s="99"/>
      <c r="M66" s="32"/>
      <c r="N66" s="32"/>
      <c r="P66" s="32"/>
    </row>
    <row r="67" spans="1:16" x14ac:dyDescent="0.25">
      <c r="A67" s="166" t="s">
        <v>161</v>
      </c>
      <c r="B67" s="33" t="s">
        <v>7</v>
      </c>
      <c r="C67" s="185"/>
      <c r="D67" s="150">
        <f t="shared" si="4"/>
        <v>1800</v>
      </c>
      <c r="E67" s="150">
        <v>2124</v>
      </c>
      <c r="F67" s="142"/>
      <c r="G67" s="142"/>
      <c r="H67" s="98"/>
      <c r="I67" s="99"/>
      <c r="J67" s="33"/>
      <c r="K67" s="99"/>
      <c r="M67" s="32"/>
      <c r="N67" s="32"/>
      <c r="P67" s="32"/>
    </row>
    <row r="68" spans="1:16" x14ac:dyDescent="0.25">
      <c r="A68" s="111"/>
      <c r="B68" s="107"/>
      <c r="C68" s="200"/>
      <c r="D68" s="201"/>
      <c r="E68" s="201"/>
      <c r="F68" s="202"/>
      <c r="G68" s="147"/>
      <c r="H68" s="109"/>
      <c r="I68" s="110"/>
      <c r="J68" s="107"/>
      <c r="K68" s="110"/>
      <c r="M68" s="32"/>
      <c r="N68" s="32"/>
      <c r="P68" s="32"/>
    </row>
    <row r="69" spans="1:16" x14ac:dyDescent="0.25">
      <c r="A69" s="103" t="s">
        <v>80</v>
      </c>
      <c r="B69" s="33"/>
      <c r="C69" s="141"/>
      <c r="D69" s="150"/>
      <c r="E69" s="150"/>
      <c r="F69" s="142"/>
      <c r="G69" s="142"/>
      <c r="H69" s="98"/>
      <c r="I69" s="99"/>
      <c r="J69" s="33"/>
      <c r="K69" s="99"/>
      <c r="M69" s="32"/>
      <c r="N69" s="32"/>
      <c r="P69" s="32"/>
    </row>
    <row r="70" spans="1:16" x14ac:dyDescent="0.25">
      <c r="A70" s="97" t="s">
        <v>81</v>
      </c>
      <c r="B70" s="33" t="s">
        <v>7</v>
      </c>
      <c r="C70" s="185"/>
      <c r="D70" s="150">
        <f>E70/1.18</f>
        <v>10474.016949152543</v>
      </c>
      <c r="E70" s="150">
        <v>12359.34</v>
      </c>
      <c r="F70" s="142"/>
      <c r="G70" s="142"/>
      <c r="H70" s="98"/>
      <c r="I70" s="99"/>
      <c r="J70" s="33"/>
      <c r="K70" s="99"/>
      <c r="M70" s="32"/>
      <c r="N70" s="32"/>
      <c r="P70" s="32"/>
    </row>
    <row r="71" spans="1:16" x14ac:dyDescent="0.25">
      <c r="A71" s="97" t="s">
        <v>216</v>
      </c>
      <c r="B71" s="33" t="s">
        <v>7</v>
      </c>
      <c r="C71" s="185"/>
      <c r="D71" s="150">
        <f t="shared" ref="D71:D76" si="5">E71/1.18</f>
        <v>6116.610169491526</v>
      </c>
      <c r="E71" s="150">
        <v>7217.6</v>
      </c>
      <c r="F71" s="142"/>
      <c r="G71" s="142"/>
      <c r="H71" s="98"/>
      <c r="I71" s="99"/>
      <c r="J71" s="33"/>
      <c r="K71" s="99"/>
      <c r="M71" s="32"/>
      <c r="N71" s="32"/>
      <c r="P71" s="32"/>
    </row>
    <row r="72" spans="1:16" x14ac:dyDescent="0.25">
      <c r="A72" s="112"/>
      <c r="B72" s="113"/>
      <c r="C72" s="146"/>
      <c r="D72" s="150"/>
      <c r="E72" s="150"/>
      <c r="F72" s="148"/>
      <c r="G72" s="148"/>
      <c r="H72" s="114"/>
      <c r="I72" s="115"/>
      <c r="J72" s="113"/>
      <c r="K72" s="115"/>
      <c r="M72" s="32"/>
      <c r="N72" s="32"/>
      <c r="P72" s="32"/>
    </row>
    <row r="73" spans="1:16" x14ac:dyDescent="0.25">
      <c r="A73" s="97" t="s">
        <v>139</v>
      </c>
      <c r="B73" s="33" t="s">
        <v>7</v>
      </c>
      <c r="C73" s="186"/>
      <c r="D73" s="150">
        <f t="shared" si="5"/>
        <v>33995</v>
      </c>
      <c r="E73" s="150">
        <v>40114.1</v>
      </c>
      <c r="F73" s="142"/>
      <c r="G73" s="142"/>
      <c r="H73" s="98"/>
      <c r="I73" s="99"/>
      <c r="J73" s="33"/>
      <c r="K73" s="99"/>
      <c r="M73" s="32"/>
      <c r="N73" s="32"/>
      <c r="P73" s="32"/>
    </row>
    <row r="74" spans="1:16" x14ac:dyDescent="0.25">
      <c r="A74" s="97" t="s">
        <v>177</v>
      </c>
      <c r="B74" s="33" t="s">
        <v>7</v>
      </c>
      <c r="C74" s="186"/>
      <c r="D74" s="150">
        <f t="shared" si="5"/>
        <v>14165.000000000002</v>
      </c>
      <c r="E74" s="150">
        <v>16714.7</v>
      </c>
      <c r="F74" s="142"/>
      <c r="G74" s="142"/>
      <c r="H74" s="98"/>
      <c r="I74" s="99"/>
      <c r="J74" s="33"/>
      <c r="K74" s="99"/>
      <c r="M74" s="32"/>
      <c r="N74" s="32"/>
      <c r="P74" s="32"/>
    </row>
    <row r="75" spans="1:16" x14ac:dyDescent="0.25">
      <c r="A75" s="97" t="s">
        <v>125</v>
      </c>
      <c r="B75" s="33" t="s">
        <v>7</v>
      </c>
      <c r="C75" s="186"/>
      <c r="D75" s="150">
        <f t="shared" si="5"/>
        <v>8499</v>
      </c>
      <c r="E75" s="150">
        <v>10028.82</v>
      </c>
      <c r="F75" s="142"/>
      <c r="G75" s="142"/>
      <c r="H75" s="98"/>
      <c r="I75" s="99"/>
      <c r="J75" s="33"/>
      <c r="K75" s="99"/>
      <c r="M75" s="32"/>
      <c r="N75" s="32"/>
      <c r="P75" s="32"/>
    </row>
    <row r="76" spans="1:16" x14ac:dyDescent="0.25">
      <c r="A76" s="97" t="s">
        <v>126</v>
      </c>
      <c r="B76" s="33" t="s">
        <v>7</v>
      </c>
      <c r="C76" s="186"/>
      <c r="D76" s="150">
        <f t="shared" si="5"/>
        <v>24357</v>
      </c>
      <c r="E76" s="150">
        <v>28741.26</v>
      </c>
      <c r="F76" s="142"/>
      <c r="G76" s="142"/>
      <c r="H76" s="98"/>
      <c r="I76" s="99"/>
      <c r="J76" s="33"/>
      <c r="K76" s="99"/>
      <c r="M76" s="32"/>
      <c r="N76" s="32"/>
      <c r="P76" s="32"/>
    </row>
    <row r="77" spans="1:16" x14ac:dyDescent="0.25">
      <c r="A77" s="112"/>
      <c r="B77" s="113"/>
      <c r="C77" s="146"/>
      <c r="D77" s="219"/>
      <c r="E77" s="219"/>
      <c r="F77" s="148"/>
      <c r="G77" s="148"/>
      <c r="H77" s="114"/>
      <c r="I77" s="115"/>
      <c r="J77" s="113"/>
      <c r="K77" s="115"/>
      <c r="M77" s="32"/>
      <c r="N77" s="32"/>
      <c r="P77" s="32"/>
    </row>
    <row r="78" spans="1:16" x14ac:dyDescent="0.25">
      <c r="A78" s="97" t="s">
        <v>304</v>
      </c>
      <c r="B78" s="33" t="s">
        <v>7</v>
      </c>
      <c r="C78" s="185"/>
      <c r="D78" s="150">
        <f>E78/1.18</f>
        <v>61360.254237288143</v>
      </c>
      <c r="E78" s="150">
        <v>72405.100000000006</v>
      </c>
      <c r="F78" s="211" t="s">
        <v>258</v>
      </c>
      <c r="G78" s="211" t="s">
        <v>395</v>
      </c>
      <c r="H78" s="98"/>
      <c r="I78" s="99"/>
      <c r="J78" s="33"/>
      <c r="K78" s="99"/>
      <c r="M78" s="32"/>
      <c r="N78" s="32"/>
      <c r="P78" s="32"/>
    </row>
    <row r="79" spans="1:16" x14ac:dyDescent="0.25">
      <c r="A79" s="96" t="s">
        <v>123</v>
      </c>
      <c r="B79" s="33" t="s">
        <v>7</v>
      </c>
      <c r="C79" s="141"/>
      <c r="D79" s="150">
        <f>E79/1.18</f>
        <v>5706.6355932203396</v>
      </c>
      <c r="E79" s="150">
        <v>6733.83</v>
      </c>
      <c r="F79" s="189" t="s">
        <v>266</v>
      </c>
      <c r="G79" s="189" t="s">
        <v>267</v>
      </c>
      <c r="H79" s="98"/>
      <c r="I79" s="99"/>
      <c r="J79" s="33"/>
      <c r="K79" s="99"/>
      <c r="M79" s="28" t="s">
        <v>265</v>
      </c>
      <c r="N79" s="32"/>
      <c r="P79" s="32"/>
    </row>
    <row r="80" spans="1:16" x14ac:dyDescent="0.25">
      <c r="A80" s="96" t="s">
        <v>124</v>
      </c>
      <c r="B80" s="33" t="s">
        <v>7</v>
      </c>
      <c r="C80" s="141"/>
      <c r="D80" s="150">
        <f>E80/1.18</f>
        <v>5823.5932203389839</v>
      </c>
      <c r="E80" s="150">
        <v>6871.84</v>
      </c>
      <c r="F80" s="189" t="s">
        <v>269</v>
      </c>
      <c r="G80" s="189" t="s">
        <v>270</v>
      </c>
      <c r="H80" s="98"/>
      <c r="I80" s="99"/>
      <c r="J80" s="33"/>
      <c r="K80" s="99"/>
      <c r="M80" s="28" t="s">
        <v>268</v>
      </c>
      <c r="N80" s="32"/>
      <c r="P80" s="32"/>
    </row>
    <row r="81" spans="1:16" x14ac:dyDescent="0.25">
      <c r="A81" s="96" t="s">
        <v>232</v>
      </c>
      <c r="B81" s="33" t="s">
        <v>7</v>
      </c>
      <c r="C81" s="185"/>
      <c r="D81" s="150">
        <f>E81/1.18</f>
        <v>7566.1016949152545</v>
      </c>
      <c r="E81" s="150">
        <v>8928</v>
      </c>
      <c r="F81" s="189" t="s">
        <v>260</v>
      </c>
      <c r="G81" s="189" t="s">
        <v>261</v>
      </c>
      <c r="H81" s="98"/>
      <c r="I81" s="99"/>
      <c r="J81" s="33"/>
      <c r="K81" s="99"/>
      <c r="M81" s="28" t="s">
        <v>259</v>
      </c>
      <c r="N81" s="32"/>
      <c r="P81" s="32"/>
    </row>
    <row r="82" spans="1:16" x14ac:dyDescent="0.25">
      <c r="A82" s="96" t="s">
        <v>230</v>
      </c>
      <c r="B82" s="33" t="s">
        <v>7</v>
      </c>
      <c r="C82" s="185"/>
      <c r="D82" s="150">
        <f>E82/1.18</f>
        <v>7625.2796610169498</v>
      </c>
      <c r="E82" s="150">
        <v>8997.83</v>
      </c>
      <c r="F82" s="189" t="s">
        <v>263</v>
      </c>
      <c r="G82" s="189" t="s">
        <v>264</v>
      </c>
      <c r="H82" s="98"/>
      <c r="I82" s="99"/>
      <c r="J82" s="33"/>
      <c r="K82" s="99"/>
      <c r="M82" s="28" t="s">
        <v>262</v>
      </c>
      <c r="N82" s="32"/>
      <c r="P82" s="32"/>
    </row>
    <row r="83" spans="1:16" x14ac:dyDescent="0.25">
      <c r="A83" s="215"/>
      <c r="B83" s="113"/>
      <c r="C83" s="146"/>
      <c r="D83" s="219"/>
      <c r="E83" s="219"/>
      <c r="F83" s="148"/>
      <c r="G83" s="148"/>
      <c r="H83" s="114"/>
      <c r="I83" s="115"/>
      <c r="J83" s="113"/>
      <c r="K83" s="115"/>
      <c r="M83" s="32"/>
      <c r="N83" s="32"/>
      <c r="P83" s="32"/>
    </row>
    <row r="84" spans="1:16" x14ac:dyDescent="0.25">
      <c r="A84" s="97" t="s">
        <v>122</v>
      </c>
      <c r="B84" s="33" t="s">
        <v>7</v>
      </c>
      <c r="C84" s="185"/>
      <c r="D84" s="150">
        <f>E84/1.18</f>
        <v>50601.694915254237</v>
      </c>
      <c r="E84" s="150">
        <v>59710</v>
      </c>
      <c r="F84" s="189" t="s">
        <v>169</v>
      </c>
      <c r="G84" s="189" t="s">
        <v>256</v>
      </c>
      <c r="H84" s="98"/>
      <c r="I84" s="99"/>
      <c r="J84" s="33"/>
      <c r="K84" s="99"/>
      <c r="M84" s="32"/>
      <c r="N84" s="32"/>
      <c r="P84" s="32"/>
    </row>
    <row r="85" spans="1:16" x14ac:dyDescent="0.25">
      <c r="A85" s="97" t="s">
        <v>121</v>
      </c>
      <c r="B85" s="33" t="s">
        <v>7</v>
      </c>
      <c r="C85" s="185"/>
      <c r="D85" s="150">
        <f>E85/1.18</f>
        <v>80508.474576271197</v>
      </c>
      <c r="E85" s="150">
        <v>95000</v>
      </c>
      <c r="F85" s="189" t="s">
        <v>168</v>
      </c>
      <c r="G85" s="189" t="s">
        <v>257</v>
      </c>
      <c r="H85" s="98"/>
      <c r="I85" s="99"/>
      <c r="J85" s="33"/>
      <c r="K85" s="99"/>
      <c r="M85" s="32"/>
      <c r="N85" s="32"/>
      <c r="P85" s="32"/>
    </row>
    <row r="86" spans="1:16" x14ac:dyDescent="0.25">
      <c r="A86" s="97" t="s">
        <v>100</v>
      </c>
      <c r="B86" s="33" t="s">
        <v>7</v>
      </c>
      <c r="C86" s="185"/>
      <c r="D86" s="150">
        <f>E86/1.18</f>
        <v>18216.101694915254</v>
      </c>
      <c r="E86" s="150">
        <v>21495</v>
      </c>
      <c r="F86" s="189" t="s">
        <v>167</v>
      </c>
      <c r="G86" s="189" t="s">
        <v>255</v>
      </c>
      <c r="H86" s="98"/>
      <c r="I86" s="99"/>
      <c r="J86" s="33"/>
      <c r="K86" s="99"/>
      <c r="M86" s="32"/>
      <c r="N86" s="32"/>
      <c r="P86" s="32"/>
    </row>
    <row r="87" spans="1:16" x14ac:dyDescent="0.25">
      <c r="A87" s="216"/>
      <c r="B87" s="217"/>
      <c r="C87" s="218"/>
      <c r="D87" s="219"/>
      <c r="E87" s="219"/>
      <c r="F87" s="220"/>
      <c r="G87" s="220"/>
      <c r="H87" s="221"/>
      <c r="I87" s="222"/>
      <c r="J87" s="217"/>
      <c r="K87" s="222"/>
      <c r="M87" s="32"/>
      <c r="N87" s="32"/>
      <c r="P87" s="32"/>
    </row>
    <row r="88" spans="1:16" x14ac:dyDescent="0.25">
      <c r="A88" s="97" t="s">
        <v>383</v>
      </c>
      <c r="B88" s="33" t="s">
        <v>7</v>
      </c>
      <c r="C88" s="185"/>
      <c r="D88" s="150">
        <f>E88/1.18</f>
        <v>67840</v>
      </c>
      <c r="E88" s="150">
        <v>80051.199999999997</v>
      </c>
      <c r="F88" s="211" t="s">
        <v>384</v>
      </c>
      <c r="G88" s="211" t="s">
        <v>385</v>
      </c>
      <c r="H88" s="98"/>
      <c r="I88" s="99"/>
      <c r="J88" s="33"/>
      <c r="K88" s="99"/>
      <c r="M88" s="32"/>
      <c r="N88" s="32"/>
      <c r="P88" s="32"/>
    </row>
    <row r="89" spans="1:16" x14ac:dyDescent="0.25">
      <c r="A89" s="111"/>
      <c r="B89" s="107"/>
      <c r="C89" s="200"/>
      <c r="D89" s="201"/>
      <c r="E89" s="201"/>
      <c r="F89" s="202"/>
      <c r="G89" s="147"/>
      <c r="H89" s="109"/>
      <c r="I89" s="110"/>
      <c r="J89" s="107"/>
      <c r="K89" s="110"/>
      <c r="M89" s="32"/>
      <c r="N89" s="32"/>
      <c r="P89" s="32"/>
    </row>
    <row r="90" spans="1:16" x14ac:dyDescent="0.25">
      <c r="A90" s="103" t="s">
        <v>82</v>
      </c>
      <c r="B90" s="33"/>
      <c r="C90" s="141"/>
      <c r="D90" s="150"/>
      <c r="E90" s="150"/>
      <c r="F90" s="142"/>
      <c r="G90" s="142"/>
      <c r="H90" s="98"/>
      <c r="I90" s="99"/>
      <c r="J90" s="33"/>
      <c r="K90" s="99"/>
      <c r="M90" s="32"/>
      <c r="N90" s="32"/>
      <c r="P90" s="32"/>
    </row>
    <row r="91" spans="1:16" x14ac:dyDescent="0.25">
      <c r="A91" s="104" t="s">
        <v>83</v>
      </c>
      <c r="B91" s="33" t="s">
        <v>8</v>
      </c>
      <c r="C91" s="185"/>
      <c r="D91" s="150">
        <f t="shared" ref="D91:D105" si="6">E91/1.18</f>
        <v>38.964228813559323</v>
      </c>
      <c r="E91" s="150">
        <v>45.977789999999999</v>
      </c>
      <c r="F91" s="211" t="s">
        <v>163</v>
      </c>
      <c r="G91" s="211" t="s">
        <v>386</v>
      </c>
      <c r="H91" s="98" t="s">
        <v>387</v>
      </c>
      <c r="I91" s="99"/>
      <c r="J91" s="33"/>
      <c r="K91" s="99"/>
      <c r="M91" s="32"/>
      <c r="N91" s="32"/>
      <c r="P91" s="32"/>
    </row>
    <row r="92" spans="1:16" x14ac:dyDescent="0.25">
      <c r="A92" s="104" t="s">
        <v>84</v>
      </c>
      <c r="B92" s="33" t="s">
        <v>8</v>
      </c>
      <c r="C92" s="185"/>
      <c r="D92" s="150">
        <f t="shared" si="6"/>
        <v>112.3198220338983</v>
      </c>
      <c r="E92" s="150">
        <v>132.53738999999999</v>
      </c>
      <c r="F92" s="211" t="s">
        <v>234</v>
      </c>
      <c r="G92" s="211" t="s">
        <v>388</v>
      </c>
      <c r="H92" s="98" t="s">
        <v>387</v>
      </c>
      <c r="I92" s="99"/>
      <c r="J92" s="33"/>
      <c r="K92" s="99"/>
      <c r="M92" s="32"/>
      <c r="N92" s="32"/>
      <c r="P92" s="32"/>
    </row>
    <row r="93" spans="1:16" x14ac:dyDescent="0.25">
      <c r="A93" s="97" t="s">
        <v>206</v>
      </c>
      <c r="B93" s="33" t="s">
        <v>8</v>
      </c>
      <c r="C93" s="185"/>
      <c r="D93" s="150">
        <f t="shared" si="6"/>
        <v>57.152542372881356</v>
      </c>
      <c r="E93" s="150">
        <v>67.44</v>
      </c>
      <c r="F93" s="142"/>
      <c r="G93" s="142"/>
      <c r="H93" s="98"/>
      <c r="I93" s="99"/>
      <c r="J93" s="33"/>
      <c r="K93" s="99"/>
      <c r="M93" s="32"/>
      <c r="N93" s="32"/>
      <c r="P93" s="32"/>
    </row>
    <row r="94" spans="1:16" x14ac:dyDescent="0.25">
      <c r="A94" s="97" t="s">
        <v>205</v>
      </c>
      <c r="B94" s="33" t="s">
        <v>8</v>
      </c>
      <c r="C94" s="185"/>
      <c r="D94" s="150">
        <f t="shared" si="6"/>
        <v>122.9491525423729</v>
      </c>
      <c r="E94" s="150">
        <v>145.08000000000001</v>
      </c>
      <c r="F94" s="142"/>
      <c r="G94" s="142"/>
      <c r="H94" s="98"/>
      <c r="I94" s="99"/>
      <c r="J94" s="33"/>
      <c r="K94" s="99"/>
      <c r="L94" s="191"/>
      <c r="M94" s="32"/>
      <c r="N94" s="32"/>
      <c r="P94" s="32"/>
    </row>
    <row r="95" spans="1:16" hidden="1" x14ac:dyDescent="0.25">
      <c r="A95" s="97" t="s">
        <v>85</v>
      </c>
      <c r="B95" s="33" t="s">
        <v>8</v>
      </c>
      <c r="C95" s="141"/>
      <c r="D95" s="150">
        <f t="shared" si="6"/>
        <v>0</v>
      </c>
      <c r="E95" s="150"/>
      <c r="F95" s="142"/>
      <c r="G95" s="142"/>
      <c r="H95" s="98"/>
      <c r="I95" s="99"/>
      <c r="J95" s="33"/>
      <c r="K95" s="99"/>
      <c r="L95" s="191"/>
      <c r="M95" s="32"/>
      <c r="N95" s="32"/>
      <c r="P95" s="32"/>
    </row>
    <row r="96" spans="1:16" x14ac:dyDescent="0.25">
      <c r="A96" s="97" t="s">
        <v>86</v>
      </c>
      <c r="B96" s="33" t="s">
        <v>8</v>
      </c>
      <c r="C96" s="185"/>
      <c r="D96" s="150">
        <f t="shared" si="6"/>
        <v>101.474</v>
      </c>
      <c r="E96" s="150">
        <v>119.73932000000001</v>
      </c>
      <c r="F96" s="211" t="s">
        <v>390</v>
      </c>
      <c r="G96" s="211" t="s">
        <v>391</v>
      </c>
      <c r="H96" s="98" t="s">
        <v>387</v>
      </c>
      <c r="I96" s="99"/>
      <c r="J96" s="33"/>
      <c r="K96" s="99"/>
      <c r="L96" s="191"/>
      <c r="M96" s="32"/>
      <c r="N96" s="32"/>
      <c r="P96" s="32"/>
    </row>
    <row r="97" spans="1:16" x14ac:dyDescent="0.25">
      <c r="A97" s="97" t="s">
        <v>162</v>
      </c>
      <c r="B97" s="33" t="s">
        <v>8</v>
      </c>
      <c r="C97" s="185"/>
      <c r="D97" s="150">
        <f t="shared" si="6"/>
        <v>157.28813559322035</v>
      </c>
      <c r="E97" s="150">
        <v>185.6</v>
      </c>
      <c r="F97" s="211" t="s">
        <v>164</v>
      </c>
      <c r="G97" s="211" t="s">
        <v>389</v>
      </c>
      <c r="H97" s="98" t="s">
        <v>387</v>
      </c>
      <c r="I97" s="99"/>
      <c r="J97" s="33"/>
      <c r="K97" s="99"/>
      <c r="M97" s="32"/>
      <c r="N97" s="32"/>
      <c r="P97" s="32"/>
    </row>
    <row r="98" spans="1:16" x14ac:dyDescent="0.25">
      <c r="A98" s="97" t="s">
        <v>172</v>
      </c>
      <c r="B98" s="33" t="s">
        <v>8</v>
      </c>
      <c r="C98" s="185"/>
      <c r="D98" s="150">
        <f t="shared" si="6"/>
        <v>62.474576271186443</v>
      </c>
      <c r="E98" s="142">
        <v>73.72</v>
      </c>
      <c r="F98" s="211" t="s">
        <v>392</v>
      </c>
      <c r="G98" s="211" t="s">
        <v>393</v>
      </c>
      <c r="H98" s="98"/>
      <c r="I98" s="99"/>
      <c r="J98" s="33"/>
      <c r="K98" s="99"/>
      <c r="M98" s="32"/>
      <c r="N98" s="32"/>
      <c r="P98" s="32"/>
    </row>
    <row r="99" spans="1:16" x14ac:dyDescent="0.25">
      <c r="A99" s="97" t="s">
        <v>174</v>
      </c>
      <c r="B99" s="33" t="s">
        <v>8</v>
      </c>
      <c r="C99" s="185"/>
      <c r="D99" s="150">
        <f t="shared" si="6"/>
        <v>27.898305084745765</v>
      </c>
      <c r="E99" s="153">
        <v>32.92</v>
      </c>
      <c r="F99" s="142"/>
      <c r="G99" s="142"/>
      <c r="H99" s="98"/>
      <c r="I99" s="99"/>
      <c r="J99" s="33"/>
      <c r="K99" s="99"/>
      <c r="M99" s="32"/>
      <c r="N99" s="32"/>
      <c r="P99" s="32"/>
    </row>
    <row r="100" spans="1:16" x14ac:dyDescent="0.25">
      <c r="A100" s="97" t="s">
        <v>142</v>
      </c>
      <c r="B100" s="33" t="s">
        <v>8</v>
      </c>
      <c r="C100" s="185"/>
      <c r="D100" s="150">
        <f t="shared" si="6"/>
        <v>15.254237288135593</v>
      </c>
      <c r="E100" s="153">
        <v>18</v>
      </c>
      <c r="F100" s="142"/>
      <c r="G100" s="142"/>
      <c r="H100" s="98"/>
      <c r="I100" s="99"/>
      <c r="J100" s="33"/>
      <c r="K100" s="99"/>
      <c r="M100" s="32"/>
      <c r="N100" s="32"/>
      <c r="P100" s="32"/>
    </row>
    <row r="101" spans="1:16" x14ac:dyDescent="0.25">
      <c r="A101" s="97" t="s">
        <v>143</v>
      </c>
      <c r="B101" s="33" t="s">
        <v>8</v>
      </c>
      <c r="C101" s="185"/>
      <c r="D101" s="150">
        <f t="shared" si="6"/>
        <v>44.915254237288138</v>
      </c>
      <c r="E101" s="153">
        <v>53</v>
      </c>
      <c r="F101" s="142"/>
      <c r="G101" s="142"/>
      <c r="H101" s="98"/>
      <c r="I101" s="99"/>
      <c r="J101" s="33"/>
      <c r="K101" s="99"/>
      <c r="M101" s="32"/>
      <c r="N101" s="32"/>
      <c r="P101" s="32"/>
    </row>
    <row r="102" spans="1:16" x14ac:dyDescent="0.25">
      <c r="A102" s="97" t="s">
        <v>207</v>
      </c>
      <c r="B102" s="33" t="s">
        <v>8</v>
      </c>
      <c r="C102" s="185"/>
      <c r="D102" s="150">
        <f t="shared" si="6"/>
        <v>82.652542372881356</v>
      </c>
      <c r="E102" s="153">
        <v>97.53</v>
      </c>
      <c r="F102" s="142"/>
      <c r="G102" s="142"/>
      <c r="H102" s="98"/>
      <c r="I102" s="99"/>
      <c r="J102" s="33"/>
      <c r="K102" s="99"/>
      <c r="M102" s="32"/>
      <c r="N102" s="32"/>
      <c r="P102" s="32"/>
    </row>
    <row r="103" spans="1:16" x14ac:dyDescent="0.25">
      <c r="A103" s="97" t="s">
        <v>114</v>
      </c>
      <c r="B103" s="33" t="s">
        <v>8</v>
      </c>
      <c r="C103" s="185"/>
      <c r="D103" s="150">
        <f t="shared" si="6"/>
        <v>525.42372881355936</v>
      </c>
      <c r="E103" s="150">
        <v>620</v>
      </c>
      <c r="F103" s="142"/>
      <c r="G103" s="142"/>
      <c r="H103" s="98"/>
      <c r="I103" s="99"/>
      <c r="J103" s="33"/>
      <c r="K103" s="99"/>
      <c r="M103" s="32"/>
      <c r="N103" s="32"/>
      <c r="P103" s="32"/>
    </row>
    <row r="104" spans="1:16" x14ac:dyDescent="0.25">
      <c r="A104" s="97" t="s">
        <v>317</v>
      </c>
      <c r="B104" s="33" t="s">
        <v>8</v>
      </c>
      <c r="C104" s="185"/>
      <c r="D104" s="150">
        <f t="shared" si="6"/>
        <v>63.13559322033899</v>
      </c>
      <c r="E104" s="153">
        <v>74.5</v>
      </c>
      <c r="F104" s="211" t="s">
        <v>435</v>
      </c>
      <c r="G104" s="211" t="s">
        <v>434</v>
      </c>
      <c r="H104" s="98" t="s">
        <v>387</v>
      </c>
      <c r="I104" s="99"/>
      <c r="J104" s="33"/>
      <c r="K104" s="99"/>
      <c r="M104" s="32"/>
      <c r="N104" s="32"/>
      <c r="P104" s="32"/>
    </row>
    <row r="105" spans="1:16" x14ac:dyDescent="0.25">
      <c r="A105" s="97" t="s">
        <v>318</v>
      </c>
      <c r="B105" s="33" t="s">
        <v>8</v>
      </c>
      <c r="C105" s="185"/>
      <c r="D105" s="150">
        <f t="shared" si="6"/>
        <v>13.322033898305087</v>
      </c>
      <c r="E105" s="153">
        <v>15.72</v>
      </c>
      <c r="F105" s="142"/>
      <c r="G105" s="142"/>
      <c r="H105" s="98"/>
      <c r="I105" s="99"/>
      <c r="J105" s="33"/>
      <c r="K105" s="99"/>
      <c r="M105" s="32"/>
      <c r="N105" s="32"/>
      <c r="P105" s="32"/>
    </row>
    <row r="106" spans="1:16" x14ac:dyDescent="0.25">
      <c r="A106" s="111"/>
      <c r="B106" s="107"/>
      <c r="C106" s="200"/>
      <c r="D106" s="201"/>
      <c r="E106" s="201"/>
      <c r="F106" s="202"/>
      <c r="G106" s="147"/>
      <c r="H106" s="109"/>
      <c r="I106" s="110"/>
      <c r="J106" s="107"/>
      <c r="K106" s="110"/>
      <c r="M106" s="32"/>
      <c r="N106" s="32"/>
      <c r="P106" s="32"/>
    </row>
    <row r="107" spans="1:16" x14ac:dyDescent="0.25">
      <c r="A107" s="103" t="s">
        <v>92</v>
      </c>
      <c r="B107" s="33"/>
      <c r="C107" s="141"/>
      <c r="D107" s="150"/>
      <c r="E107" s="150"/>
      <c r="F107" s="142"/>
      <c r="G107" s="142"/>
      <c r="H107" s="98"/>
      <c r="I107" s="99"/>
      <c r="J107" s="33"/>
      <c r="K107" s="99"/>
      <c r="M107" s="32"/>
      <c r="N107" s="32"/>
      <c r="P107" s="32"/>
    </row>
    <row r="108" spans="1:16" x14ac:dyDescent="0.25">
      <c r="A108" s="97" t="s">
        <v>153</v>
      </c>
      <c r="B108" s="33" t="s">
        <v>7</v>
      </c>
      <c r="C108" s="185"/>
      <c r="D108" s="150">
        <f t="shared" ref="D108:D115" si="7">E108/1.18</f>
        <v>81.016949152542367</v>
      </c>
      <c r="E108" s="150">
        <v>95.6</v>
      </c>
      <c r="F108" s="142"/>
      <c r="G108" s="142"/>
      <c r="H108" s="98"/>
      <c r="I108" s="99"/>
      <c r="J108" s="33"/>
      <c r="K108" s="99"/>
      <c r="M108" s="32"/>
      <c r="N108" s="32"/>
      <c r="P108" s="32"/>
    </row>
    <row r="109" spans="1:16" x14ac:dyDescent="0.25">
      <c r="A109" s="97" t="s">
        <v>156</v>
      </c>
      <c r="B109" s="33" t="s">
        <v>7</v>
      </c>
      <c r="C109" s="185"/>
      <c r="D109" s="150">
        <f t="shared" si="7"/>
        <v>200.90724456279662</v>
      </c>
      <c r="E109" s="224">
        <v>237.07054858410001</v>
      </c>
      <c r="F109" s="142"/>
      <c r="G109" s="142"/>
      <c r="H109" s="98"/>
      <c r="I109" s="99"/>
      <c r="J109" s="33"/>
      <c r="K109" s="99"/>
      <c r="M109" s="32"/>
      <c r="N109" s="32"/>
      <c r="P109" s="32"/>
    </row>
    <row r="110" spans="1:16" x14ac:dyDescent="0.25">
      <c r="A110" s="97" t="s">
        <v>157</v>
      </c>
      <c r="B110" s="33" t="s">
        <v>7</v>
      </c>
      <c r="C110" s="185"/>
      <c r="D110" s="150">
        <f t="shared" si="7"/>
        <v>208.23728813559322</v>
      </c>
      <c r="E110" s="225">
        <v>245.72</v>
      </c>
      <c r="F110" s="142"/>
      <c r="G110" s="142"/>
      <c r="H110" s="98"/>
      <c r="I110" s="99"/>
      <c r="J110" s="33"/>
      <c r="K110" s="99"/>
      <c r="M110" s="32"/>
      <c r="N110" s="32"/>
      <c r="P110" s="32"/>
    </row>
    <row r="111" spans="1:16" x14ac:dyDescent="0.25">
      <c r="A111" s="97" t="s">
        <v>93</v>
      </c>
      <c r="B111" s="33" t="s">
        <v>7</v>
      </c>
      <c r="C111" s="185"/>
      <c r="D111" s="150">
        <f t="shared" si="7"/>
        <v>153.5593220338983</v>
      </c>
      <c r="E111" s="226">
        <v>181.2</v>
      </c>
      <c r="F111" s="142"/>
      <c r="G111" s="142"/>
      <c r="H111" s="98"/>
      <c r="I111" s="99"/>
      <c r="J111" s="33"/>
      <c r="K111" s="99"/>
      <c r="M111" s="32"/>
      <c r="N111" s="32"/>
      <c r="P111" s="32"/>
    </row>
    <row r="112" spans="1:16" x14ac:dyDescent="0.25">
      <c r="A112" s="97" t="s">
        <v>94</v>
      </c>
      <c r="B112" s="33" t="s">
        <v>7</v>
      </c>
      <c r="C112" s="185"/>
      <c r="D112" s="150">
        <f t="shared" si="7"/>
        <v>247.12711864406782</v>
      </c>
      <c r="E112" s="226">
        <v>291.61</v>
      </c>
      <c r="F112" s="142"/>
      <c r="G112" s="142"/>
      <c r="H112" s="98"/>
      <c r="I112" s="99"/>
      <c r="J112" s="33"/>
      <c r="K112" s="99"/>
      <c r="M112" s="32"/>
      <c r="N112" s="32"/>
      <c r="P112" s="32"/>
    </row>
    <row r="113" spans="1:16" x14ac:dyDescent="0.25">
      <c r="A113" s="97" t="s">
        <v>95</v>
      </c>
      <c r="B113" s="33" t="s">
        <v>7</v>
      </c>
      <c r="C113" s="185"/>
      <c r="D113" s="150">
        <f t="shared" si="7"/>
        <v>96.788135593220332</v>
      </c>
      <c r="E113" s="226">
        <v>114.21</v>
      </c>
      <c r="F113" s="142"/>
      <c r="G113" s="142"/>
      <c r="H113" s="98"/>
      <c r="I113" s="99"/>
      <c r="J113" s="33"/>
      <c r="K113" s="99"/>
      <c r="M113" s="32"/>
      <c r="N113" s="32"/>
      <c r="P113" s="32"/>
    </row>
    <row r="114" spans="1:16" x14ac:dyDescent="0.25">
      <c r="A114" s="97" t="s">
        <v>96</v>
      </c>
      <c r="B114" s="33" t="s">
        <v>7</v>
      </c>
      <c r="C114" s="185"/>
      <c r="D114" s="150">
        <f t="shared" si="7"/>
        <v>75.271186440677965</v>
      </c>
      <c r="E114" s="226">
        <v>88.82</v>
      </c>
      <c r="F114" s="142"/>
      <c r="G114" s="142"/>
      <c r="H114" s="98"/>
      <c r="I114" s="99"/>
      <c r="J114" s="33"/>
      <c r="K114" s="99"/>
      <c r="M114" s="32"/>
      <c r="N114" s="32"/>
      <c r="P114" s="32"/>
    </row>
    <row r="115" spans="1:16" x14ac:dyDescent="0.25">
      <c r="A115" s="97" t="s">
        <v>97</v>
      </c>
      <c r="B115" s="33" t="s">
        <v>7</v>
      </c>
      <c r="C115" s="185"/>
      <c r="D115" s="150">
        <f t="shared" si="7"/>
        <v>18.694915254237287</v>
      </c>
      <c r="E115" s="226">
        <v>22.06</v>
      </c>
      <c r="F115" s="142"/>
      <c r="G115" s="142"/>
      <c r="H115" s="98"/>
      <c r="I115" s="99"/>
      <c r="J115" s="33"/>
      <c r="K115" s="99"/>
      <c r="M115" s="32"/>
      <c r="N115" s="32"/>
      <c r="P115" s="32"/>
    </row>
    <row r="116" spans="1:16" x14ac:dyDescent="0.25">
      <c r="A116" s="111"/>
      <c r="B116" s="107"/>
      <c r="C116" s="200"/>
      <c r="D116" s="201"/>
      <c r="E116" s="201"/>
      <c r="F116" s="202"/>
      <c r="G116" s="147"/>
      <c r="H116" s="109"/>
      <c r="I116" s="110"/>
      <c r="J116" s="107"/>
      <c r="K116" s="110"/>
      <c r="M116" s="32"/>
      <c r="N116" s="32"/>
      <c r="P116" s="32"/>
    </row>
    <row r="117" spans="1:16" x14ac:dyDescent="0.25">
      <c r="A117" s="103" t="s">
        <v>87</v>
      </c>
      <c r="B117" s="33"/>
      <c r="C117" s="141"/>
      <c r="D117" s="150"/>
      <c r="E117" s="150"/>
      <c r="F117" s="142"/>
      <c r="G117" s="142"/>
      <c r="H117" s="98"/>
      <c r="I117" s="99"/>
      <c r="J117" s="33"/>
      <c r="K117" s="99"/>
      <c r="M117" s="32"/>
      <c r="N117" s="32"/>
      <c r="P117" s="32"/>
    </row>
    <row r="118" spans="1:16" x14ac:dyDescent="0.25">
      <c r="A118" s="97" t="s">
        <v>397</v>
      </c>
      <c r="B118" s="33" t="s">
        <v>7</v>
      </c>
      <c r="C118" s="185"/>
      <c r="D118" s="150">
        <f t="shared" ref="D118:D128" si="8">E118/1.18</f>
        <v>451.98305084745766</v>
      </c>
      <c r="E118" s="150">
        <v>533.34</v>
      </c>
      <c r="F118" s="211" t="s">
        <v>396</v>
      </c>
      <c r="G118" s="211">
        <v>533.34</v>
      </c>
      <c r="H118" s="98"/>
      <c r="I118" s="99"/>
      <c r="J118" s="33"/>
      <c r="K118" s="99"/>
      <c r="M118" s="32"/>
      <c r="N118" s="32"/>
      <c r="P118" s="32"/>
    </row>
    <row r="119" spans="1:16" x14ac:dyDescent="0.25">
      <c r="A119" s="97" t="s">
        <v>401</v>
      </c>
      <c r="B119" s="33" t="s">
        <v>7</v>
      </c>
      <c r="C119" s="185"/>
      <c r="D119" s="150">
        <f t="shared" si="8"/>
        <v>535.98305084745766</v>
      </c>
      <c r="E119" s="150">
        <v>632.46</v>
      </c>
      <c r="F119" s="211" t="s">
        <v>398</v>
      </c>
      <c r="G119" s="211">
        <v>632.46</v>
      </c>
      <c r="H119" s="98"/>
      <c r="I119" s="99"/>
      <c r="J119" s="33"/>
      <c r="K119" s="99"/>
      <c r="M119" s="32"/>
      <c r="N119" s="32"/>
      <c r="P119" s="32"/>
    </row>
    <row r="120" spans="1:16" x14ac:dyDescent="0.25">
      <c r="A120" s="97" t="s">
        <v>400</v>
      </c>
      <c r="B120" s="33" t="s">
        <v>7</v>
      </c>
      <c r="C120" s="185"/>
      <c r="D120" s="150">
        <f t="shared" si="8"/>
        <v>535.98305084745766</v>
      </c>
      <c r="E120" s="150">
        <v>632.46</v>
      </c>
      <c r="F120" s="211" t="s">
        <v>399</v>
      </c>
      <c r="G120" s="211">
        <v>632.46</v>
      </c>
      <c r="H120" s="98"/>
      <c r="I120" s="99"/>
      <c r="J120" s="33"/>
      <c r="K120" s="99"/>
      <c r="M120" s="32"/>
      <c r="N120" s="32"/>
      <c r="P120" s="32"/>
    </row>
    <row r="121" spans="1:16" x14ac:dyDescent="0.25">
      <c r="A121" s="97" t="s">
        <v>403</v>
      </c>
      <c r="B121" s="33" t="s">
        <v>7</v>
      </c>
      <c r="C121" s="185"/>
      <c r="D121" s="150">
        <f t="shared" si="8"/>
        <v>535.98305084745766</v>
      </c>
      <c r="E121" s="150">
        <v>632.46</v>
      </c>
      <c r="F121" s="211" t="s">
        <v>402</v>
      </c>
      <c r="G121" s="211">
        <v>632.46</v>
      </c>
      <c r="H121" s="98"/>
      <c r="I121" s="99"/>
      <c r="J121" s="33"/>
      <c r="K121" s="99"/>
      <c r="M121" s="32"/>
      <c r="N121" s="32"/>
      <c r="P121" s="32"/>
    </row>
    <row r="122" spans="1:16" x14ac:dyDescent="0.25">
      <c r="A122" s="97" t="s">
        <v>405</v>
      </c>
      <c r="B122" s="33" t="s">
        <v>7</v>
      </c>
      <c r="C122" s="185"/>
      <c r="D122" s="150">
        <f t="shared" si="8"/>
        <v>535.98305084745766</v>
      </c>
      <c r="E122" s="150">
        <v>632.46</v>
      </c>
      <c r="F122" s="211" t="s">
        <v>404</v>
      </c>
      <c r="G122" s="211">
        <v>632.46</v>
      </c>
      <c r="H122" s="98"/>
      <c r="I122" s="99"/>
      <c r="J122" s="33"/>
      <c r="K122" s="99"/>
      <c r="M122" s="32"/>
      <c r="N122" s="32"/>
      <c r="P122" s="32"/>
    </row>
    <row r="123" spans="1:16" x14ac:dyDescent="0.25">
      <c r="A123" s="97" t="s">
        <v>407</v>
      </c>
      <c r="B123" s="33" t="s">
        <v>7</v>
      </c>
      <c r="C123" s="185"/>
      <c r="D123" s="150">
        <f t="shared" si="8"/>
        <v>535.98305084745766</v>
      </c>
      <c r="E123" s="150">
        <v>632.46</v>
      </c>
      <c r="F123" s="211" t="s">
        <v>406</v>
      </c>
      <c r="G123" s="211">
        <v>632.46</v>
      </c>
      <c r="H123" s="98"/>
      <c r="I123" s="99"/>
      <c r="J123" s="33"/>
      <c r="K123" s="99"/>
      <c r="M123" s="32"/>
      <c r="N123" s="32"/>
      <c r="P123" s="32"/>
    </row>
    <row r="124" spans="1:16" x14ac:dyDescent="0.25">
      <c r="A124" s="97" t="s">
        <v>410</v>
      </c>
      <c r="B124" s="33" t="s">
        <v>7</v>
      </c>
      <c r="C124" s="185"/>
      <c r="D124" s="150">
        <f t="shared" si="8"/>
        <v>1815.6355932203389</v>
      </c>
      <c r="E124" s="150">
        <v>2142.4499999999998</v>
      </c>
      <c r="F124" s="211" t="s">
        <v>408</v>
      </c>
      <c r="G124" s="211" t="s">
        <v>409</v>
      </c>
      <c r="H124" s="98"/>
      <c r="I124" s="99"/>
      <c r="J124" s="33"/>
      <c r="K124" s="99"/>
      <c r="M124" s="32"/>
      <c r="N124" s="32"/>
      <c r="P124" s="32"/>
    </row>
    <row r="125" spans="1:16" x14ac:dyDescent="0.25">
      <c r="A125" s="97" t="s">
        <v>412</v>
      </c>
      <c r="B125" s="33" t="s">
        <v>7</v>
      </c>
      <c r="C125" s="185"/>
      <c r="D125" s="150">
        <f t="shared" si="8"/>
        <v>1725</v>
      </c>
      <c r="E125" s="150">
        <v>2035.5</v>
      </c>
      <c r="F125" s="227" t="s">
        <v>411</v>
      </c>
      <c r="G125" s="227" t="s">
        <v>271</v>
      </c>
      <c r="H125" s="98"/>
      <c r="I125" s="99"/>
      <c r="J125" s="33"/>
      <c r="K125" s="99"/>
      <c r="M125" s="32"/>
      <c r="N125" s="32"/>
      <c r="P125" s="32"/>
    </row>
    <row r="126" spans="1:16" x14ac:dyDescent="0.25">
      <c r="A126" s="97" t="s">
        <v>418</v>
      </c>
      <c r="B126" s="33" t="s">
        <v>7</v>
      </c>
      <c r="C126" s="185"/>
      <c r="D126" s="150">
        <f t="shared" si="8"/>
        <v>575.66101694915255</v>
      </c>
      <c r="E126" s="150">
        <v>679.28</v>
      </c>
      <c r="F126" s="211" t="s">
        <v>272</v>
      </c>
      <c r="G126" s="211">
        <v>679.28</v>
      </c>
      <c r="H126" s="98"/>
      <c r="I126" s="99"/>
      <c r="J126" s="33"/>
      <c r="K126" s="99"/>
      <c r="M126" s="32"/>
      <c r="N126" s="32"/>
      <c r="P126" s="32"/>
    </row>
    <row r="127" spans="1:16" x14ac:dyDescent="0.25">
      <c r="A127" s="97" t="s">
        <v>415</v>
      </c>
      <c r="B127" s="33" t="s">
        <v>7</v>
      </c>
      <c r="C127" s="185"/>
      <c r="D127" s="150">
        <f t="shared" si="8"/>
        <v>1556.8474576271187</v>
      </c>
      <c r="E127" s="150">
        <v>1837.08</v>
      </c>
      <c r="F127" s="227" t="s">
        <v>413</v>
      </c>
      <c r="G127" s="227" t="s">
        <v>414</v>
      </c>
      <c r="H127" s="98"/>
      <c r="I127" s="228" t="s">
        <v>416</v>
      </c>
      <c r="J127" s="229">
        <v>637.20000000000005</v>
      </c>
      <c r="K127" s="230" t="s">
        <v>417</v>
      </c>
      <c r="M127" s="32"/>
      <c r="N127" s="32"/>
      <c r="P127" s="32"/>
    </row>
    <row r="128" spans="1:16" x14ac:dyDescent="0.25">
      <c r="A128" s="97" t="s">
        <v>419</v>
      </c>
      <c r="B128" s="33" t="s">
        <v>7</v>
      </c>
      <c r="C128" s="185"/>
      <c r="D128" s="150">
        <f t="shared" si="8"/>
        <v>765.60169491525426</v>
      </c>
      <c r="E128" s="150">
        <v>903.41</v>
      </c>
      <c r="F128" s="211" t="s">
        <v>165</v>
      </c>
      <c r="G128" s="211">
        <v>903.41</v>
      </c>
      <c r="H128" s="98"/>
      <c r="I128" s="99"/>
      <c r="J128" s="33"/>
      <c r="K128" s="99"/>
      <c r="M128" s="32"/>
      <c r="N128" s="32"/>
      <c r="P128" s="32"/>
    </row>
    <row r="129" spans="1:16" x14ac:dyDescent="0.25">
      <c r="A129" s="111"/>
      <c r="B129" s="107"/>
      <c r="C129" s="200"/>
      <c r="D129" s="201"/>
      <c r="E129" s="201"/>
      <c r="F129" s="202"/>
      <c r="G129" s="147"/>
      <c r="H129" s="109"/>
      <c r="I129" s="110"/>
      <c r="J129" s="107"/>
      <c r="K129" s="110"/>
      <c r="M129" s="32"/>
      <c r="N129" s="32"/>
      <c r="P129" s="32"/>
    </row>
    <row r="130" spans="1:16" hidden="1" x14ac:dyDescent="0.25">
      <c r="A130" s="97" t="s">
        <v>88</v>
      </c>
      <c r="B130" s="33"/>
      <c r="C130" s="141"/>
      <c r="D130" s="150"/>
      <c r="E130" s="150"/>
      <c r="F130" s="142"/>
      <c r="G130" s="142"/>
      <c r="H130" s="98"/>
      <c r="I130" s="99"/>
      <c r="J130" s="33"/>
      <c r="K130" s="99"/>
      <c r="M130" s="32"/>
      <c r="N130" s="32"/>
      <c r="P130" s="32"/>
    </row>
    <row r="131" spans="1:16" hidden="1" x14ac:dyDescent="0.25">
      <c r="A131" s="97" t="s">
        <v>101</v>
      </c>
      <c r="B131" s="33" t="s">
        <v>7</v>
      </c>
      <c r="C131" s="141"/>
      <c r="D131" s="150"/>
      <c r="E131" s="150"/>
      <c r="F131" s="142"/>
      <c r="G131" s="142"/>
      <c r="H131" s="98"/>
      <c r="I131" s="99"/>
      <c r="J131" s="33"/>
      <c r="K131" s="99"/>
      <c r="M131" s="32"/>
      <c r="N131" s="32"/>
      <c r="P131" s="32"/>
    </row>
    <row r="132" spans="1:16" hidden="1" x14ac:dyDescent="0.25">
      <c r="A132" s="97" t="s">
        <v>89</v>
      </c>
      <c r="B132" s="33" t="s">
        <v>7</v>
      </c>
      <c r="C132" s="141"/>
      <c r="D132" s="150"/>
      <c r="E132" s="150"/>
      <c r="F132" s="142"/>
      <c r="G132" s="142"/>
      <c r="H132" s="98"/>
      <c r="I132" s="99"/>
      <c r="J132" s="33"/>
      <c r="K132" s="99"/>
      <c r="M132" s="32"/>
      <c r="N132" s="32"/>
      <c r="P132" s="32"/>
    </row>
    <row r="133" spans="1:16" hidden="1" x14ac:dyDescent="0.25">
      <c r="A133" s="97" t="s">
        <v>90</v>
      </c>
      <c r="B133" s="33" t="s">
        <v>7</v>
      </c>
      <c r="C133" s="141"/>
      <c r="D133" s="150"/>
      <c r="E133" s="150"/>
      <c r="F133" s="142"/>
      <c r="G133" s="142"/>
      <c r="H133" s="98"/>
      <c r="I133" s="99"/>
      <c r="J133" s="33"/>
      <c r="K133" s="99"/>
      <c r="M133" s="32"/>
      <c r="N133" s="32"/>
      <c r="P133" s="32"/>
    </row>
    <row r="134" spans="1:16" hidden="1" x14ac:dyDescent="0.25">
      <c r="A134" s="97" t="s">
        <v>33</v>
      </c>
      <c r="B134" s="33" t="s">
        <v>7</v>
      </c>
      <c r="C134" s="141"/>
      <c r="D134" s="150"/>
      <c r="E134" s="150"/>
      <c r="F134" s="142"/>
      <c r="G134" s="142"/>
      <c r="H134" s="98"/>
      <c r="I134" s="99"/>
      <c r="J134" s="33"/>
      <c r="K134" s="99"/>
      <c r="M134" s="32"/>
      <c r="N134" s="32"/>
      <c r="P134" s="32"/>
    </row>
    <row r="135" spans="1:16" hidden="1" x14ac:dyDescent="0.25">
      <c r="A135" s="97" t="s">
        <v>102</v>
      </c>
      <c r="B135" s="33" t="s">
        <v>7</v>
      </c>
      <c r="C135" s="141"/>
      <c r="D135" s="150"/>
      <c r="E135" s="150"/>
      <c r="F135" s="142"/>
      <c r="G135" s="142"/>
      <c r="H135" s="98"/>
      <c r="I135" s="99"/>
      <c r="J135" s="33"/>
      <c r="K135" s="99"/>
      <c r="M135" s="32"/>
      <c r="N135" s="32"/>
      <c r="P135" s="32"/>
    </row>
    <row r="136" spans="1:16" hidden="1" x14ac:dyDescent="0.25">
      <c r="A136" s="97"/>
      <c r="B136" s="33"/>
      <c r="C136" s="141"/>
      <c r="D136" s="150"/>
      <c r="E136" s="150"/>
      <c r="F136" s="142"/>
      <c r="G136" s="142"/>
      <c r="H136" s="98"/>
      <c r="I136" s="99"/>
      <c r="J136" s="33"/>
      <c r="K136" s="99"/>
      <c r="M136" s="32"/>
      <c r="N136" s="32"/>
      <c r="P136" s="32"/>
    </row>
    <row r="137" spans="1:16" x14ac:dyDescent="0.25">
      <c r="A137" s="103" t="s">
        <v>47</v>
      </c>
      <c r="B137" s="33"/>
      <c r="C137" s="141"/>
      <c r="D137" s="150"/>
      <c r="E137" s="150"/>
      <c r="F137" s="142"/>
      <c r="G137" s="142"/>
      <c r="H137" s="98"/>
      <c r="I137" s="99"/>
      <c r="J137" s="33"/>
      <c r="K137" s="99"/>
      <c r="M137" s="32"/>
      <c r="N137" s="32"/>
      <c r="P137" s="32"/>
    </row>
    <row r="138" spans="1:16" ht="31.5" hidden="1" x14ac:dyDescent="0.25">
      <c r="A138" s="105" t="s">
        <v>91</v>
      </c>
      <c r="B138" s="33" t="s">
        <v>7</v>
      </c>
      <c r="C138" s="141"/>
      <c r="D138" s="150"/>
      <c r="E138" s="150"/>
      <c r="F138" s="142"/>
      <c r="G138" s="142"/>
      <c r="H138" s="98"/>
      <c r="I138" s="99"/>
      <c r="J138" s="33"/>
      <c r="K138" s="99"/>
      <c r="M138" s="32"/>
      <c r="N138" s="32"/>
      <c r="P138" s="32"/>
    </row>
    <row r="139" spans="1:16" x14ac:dyDescent="0.25">
      <c r="A139" s="105" t="s">
        <v>182</v>
      </c>
      <c r="B139" s="33" t="s">
        <v>7</v>
      </c>
      <c r="C139" s="185"/>
      <c r="D139" s="150">
        <f>E139/1.18</f>
        <v>4385.4491525423728</v>
      </c>
      <c r="E139" s="150">
        <f>3335+1839.83</f>
        <v>5174.83</v>
      </c>
      <c r="F139" s="189" t="s">
        <v>180</v>
      </c>
      <c r="G139" s="189" t="s">
        <v>273</v>
      </c>
      <c r="H139" s="98"/>
      <c r="I139" s="164" t="s">
        <v>274</v>
      </c>
      <c r="J139" s="33"/>
      <c r="K139" s="99"/>
      <c r="L139" s="205" t="s">
        <v>276</v>
      </c>
      <c r="M139" s="32" t="s">
        <v>275</v>
      </c>
      <c r="N139" s="32"/>
      <c r="P139" s="32"/>
    </row>
    <row r="140" spans="1:16" ht="31.5" x14ac:dyDescent="0.25">
      <c r="A140" s="105" t="s">
        <v>305</v>
      </c>
      <c r="B140" s="33"/>
      <c r="C140" s="185"/>
      <c r="D140" s="198">
        <f>E140/1.18</f>
        <v>4385.4491525423728</v>
      </c>
      <c r="E140" s="198">
        <v>5174.83</v>
      </c>
      <c r="F140" s="210"/>
      <c r="G140" s="210"/>
      <c r="H140" s="99"/>
      <c r="I140" s="164"/>
      <c r="J140" s="99"/>
      <c r="K140" s="99"/>
      <c r="L140" s="205"/>
      <c r="M140" s="32"/>
      <c r="N140" s="32"/>
      <c r="P140" s="32"/>
    </row>
    <row r="141" spans="1:16" x14ac:dyDescent="0.25">
      <c r="A141" s="199"/>
      <c r="B141" s="107"/>
      <c r="C141" s="200"/>
      <c r="D141" s="201"/>
      <c r="E141" s="201"/>
      <c r="F141" s="202"/>
      <c r="G141" s="147"/>
      <c r="H141" s="109"/>
      <c r="I141" s="110"/>
      <c r="J141" s="107"/>
      <c r="K141" s="110"/>
      <c r="M141" s="32"/>
      <c r="N141" s="32"/>
      <c r="P141" s="32"/>
    </row>
    <row r="142" spans="1:16" x14ac:dyDescent="0.25">
      <c r="A142" s="103" t="s">
        <v>104</v>
      </c>
      <c r="B142" s="33"/>
      <c r="C142" s="141"/>
      <c r="D142" s="150"/>
      <c r="E142" s="150"/>
      <c r="F142" s="142"/>
      <c r="G142" s="142"/>
      <c r="H142" s="98"/>
      <c r="I142" s="99"/>
      <c r="J142" s="33"/>
      <c r="K142" s="99"/>
      <c r="M142" s="32"/>
      <c r="N142" s="32"/>
      <c r="P142" s="32"/>
    </row>
    <row r="143" spans="1:16" x14ac:dyDescent="0.25">
      <c r="A143" s="97" t="s">
        <v>149</v>
      </c>
      <c r="B143" s="33" t="s">
        <v>7</v>
      </c>
      <c r="C143" s="185"/>
      <c r="D143" s="150">
        <f>E143/1.18</f>
        <v>498.9830508474576</v>
      </c>
      <c r="E143" s="150">
        <v>588.79999999999995</v>
      </c>
      <c r="F143" s="189" t="s">
        <v>166</v>
      </c>
      <c r="G143" s="189">
        <v>588.79999999999995</v>
      </c>
      <c r="H143" s="98"/>
      <c r="I143" s="164" t="s">
        <v>283</v>
      </c>
      <c r="J143" s="33"/>
      <c r="K143" s="99"/>
      <c r="L143" s="207">
        <v>253.13</v>
      </c>
      <c r="M143" s="32"/>
      <c r="N143" s="32"/>
      <c r="P143" s="32"/>
    </row>
    <row r="144" spans="1:16" x14ac:dyDescent="0.25">
      <c r="A144" s="103" t="s">
        <v>188</v>
      </c>
      <c r="B144" s="33"/>
      <c r="C144" s="141"/>
      <c r="D144" s="195"/>
      <c r="E144" s="195"/>
      <c r="F144" s="42"/>
      <c r="G144" s="42"/>
      <c r="H144" s="101"/>
      <c r="I144" s="102"/>
      <c r="J144" s="95"/>
      <c r="K144" s="102"/>
    </row>
    <row r="145" spans="1:14" ht="31.5" customHeight="1" x14ac:dyDescent="0.25">
      <c r="A145" s="190" t="s">
        <v>277</v>
      </c>
      <c r="B145" s="33" t="s">
        <v>7</v>
      </c>
      <c r="C145" s="185"/>
      <c r="D145" s="150">
        <f>E145/1.18</f>
        <v>1432.2033898305085</v>
      </c>
      <c r="E145" s="153">
        <v>1690</v>
      </c>
      <c r="F145" s="29"/>
      <c r="G145" s="29"/>
      <c r="H145" s="98"/>
      <c r="I145" s="99"/>
      <c r="J145" s="33"/>
      <c r="K145" s="99"/>
    </row>
    <row r="146" spans="1:14" x14ac:dyDescent="0.25">
      <c r="A146" s="97" t="s">
        <v>432</v>
      </c>
      <c r="B146" s="33" t="s">
        <v>7</v>
      </c>
      <c r="C146" s="185"/>
      <c r="D146" s="150">
        <f>E146/1.18</f>
        <v>7226.5847457627133</v>
      </c>
      <c r="E146" s="150">
        <v>8527.3700000000008</v>
      </c>
      <c r="F146" s="213" t="s">
        <v>278</v>
      </c>
      <c r="G146" s="213" t="s">
        <v>431</v>
      </c>
      <c r="H146" s="98"/>
      <c r="I146" s="99"/>
      <c r="J146" s="33"/>
      <c r="K146" s="99"/>
    </row>
    <row r="147" spans="1:14" x14ac:dyDescent="0.25">
      <c r="A147" s="97" t="s">
        <v>231</v>
      </c>
      <c r="B147" s="33" t="s">
        <v>7</v>
      </c>
      <c r="C147" s="185"/>
      <c r="D147" s="150">
        <f>E147/1.18</f>
        <v>4385.593220338983</v>
      </c>
      <c r="E147" s="150">
        <v>5175</v>
      </c>
      <c r="F147" s="182" t="s">
        <v>291</v>
      </c>
      <c r="G147" s="182" t="s">
        <v>292</v>
      </c>
      <c r="H147" s="98"/>
      <c r="I147" s="164" t="s">
        <v>293</v>
      </c>
      <c r="J147" s="33"/>
      <c r="K147" s="99"/>
      <c r="L147" s="207" t="s">
        <v>294</v>
      </c>
      <c r="N147" s="25" t="s">
        <v>295</v>
      </c>
    </row>
    <row r="148" spans="1:14" x14ac:dyDescent="0.25">
      <c r="A148" s="97" t="s">
        <v>184</v>
      </c>
      <c r="B148" s="33" t="s">
        <v>7</v>
      </c>
      <c r="C148" s="185"/>
      <c r="D148" s="150">
        <f>E148/1.18</f>
        <v>15800</v>
      </c>
      <c r="E148" s="150">
        <v>18644</v>
      </c>
      <c r="F148" s="213" t="s">
        <v>290</v>
      </c>
      <c r="G148" s="213" t="s">
        <v>425</v>
      </c>
      <c r="H148" s="98"/>
      <c r="I148" s="99"/>
      <c r="J148" s="33"/>
      <c r="K148" s="99"/>
    </row>
    <row r="149" spans="1:14" x14ac:dyDescent="0.25">
      <c r="A149" s="97" t="s">
        <v>228</v>
      </c>
      <c r="B149" s="33" t="s">
        <v>7</v>
      </c>
      <c r="C149" s="185"/>
      <c r="D149" s="150">
        <f t="shared" ref="D149:D155" si="9">E149/1.18</f>
        <v>415250</v>
      </c>
      <c r="E149" s="150">
        <v>489995</v>
      </c>
      <c r="F149" s="213" t="s">
        <v>420</v>
      </c>
      <c r="G149" s="213" t="s">
        <v>421</v>
      </c>
      <c r="H149" s="98"/>
      <c r="I149" s="99"/>
      <c r="J149" s="33"/>
      <c r="K149" s="99"/>
    </row>
    <row r="150" spans="1:14" x14ac:dyDescent="0.25">
      <c r="A150" s="97" t="s">
        <v>227</v>
      </c>
      <c r="B150" s="33" t="s">
        <v>7</v>
      </c>
      <c r="C150" s="185"/>
      <c r="D150" s="150">
        <f t="shared" si="9"/>
        <v>520459.5</v>
      </c>
      <c r="E150" s="150">
        <v>614142.21</v>
      </c>
      <c r="F150" s="213" t="s">
        <v>284</v>
      </c>
      <c r="G150" s="213" t="s">
        <v>394</v>
      </c>
      <c r="H150" s="98"/>
      <c r="I150" s="99"/>
      <c r="J150" s="33"/>
      <c r="K150" s="99"/>
    </row>
    <row r="151" spans="1:14" x14ac:dyDescent="0.25">
      <c r="A151" s="97" t="s">
        <v>229</v>
      </c>
      <c r="B151" s="33" t="s">
        <v>7</v>
      </c>
      <c r="C151" s="185"/>
      <c r="D151" s="150">
        <f t="shared" si="9"/>
        <v>237674.10169491527</v>
      </c>
      <c r="E151" s="150">
        <v>280455.44</v>
      </c>
      <c r="F151" s="213" t="s">
        <v>285</v>
      </c>
      <c r="G151" s="213" t="s">
        <v>422</v>
      </c>
      <c r="H151" s="98"/>
      <c r="I151" s="228" t="s">
        <v>287</v>
      </c>
      <c r="J151" s="229" t="s">
        <v>423</v>
      </c>
      <c r="K151" s="99"/>
      <c r="L151" s="207" t="s">
        <v>288</v>
      </c>
      <c r="M151" s="209" t="s">
        <v>289</v>
      </c>
      <c r="N151" s="208" t="s">
        <v>286</v>
      </c>
    </row>
    <row r="152" spans="1:14" x14ac:dyDescent="0.25">
      <c r="A152" s="97" t="s">
        <v>219</v>
      </c>
      <c r="B152" s="33"/>
      <c r="C152" s="185"/>
      <c r="D152" s="150">
        <f t="shared" si="9"/>
        <v>29457.627118644068</v>
      </c>
      <c r="E152" s="150">
        <v>34760</v>
      </c>
      <c r="F152" s="213" t="s">
        <v>282</v>
      </c>
      <c r="G152" s="213" t="s">
        <v>424</v>
      </c>
      <c r="H152" s="98"/>
      <c r="I152" s="99"/>
      <c r="J152" s="33"/>
      <c r="K152" s="99"/>
    </row>
    <row r="153" spans="1:14" x14ac:dyDescent="0.25">
      <c r="A153" s="97" t="s">
        <v>185</v>
      </c>
      <c r="B153" s="33" t="s">
        <v>7</v>
      </c>
      <c r="C153" s="185"/>
      <c r="D153" s="150">
        <f t="shared" si="9"/>
        <v>8898.3050847457635</v>
      </c>
      <c r="E153" s="153">
        <v>10500</v>
      </c>
      <c r="F153" s="29"/>
      <c r="G153" s="29"/>
      <c r="H153" s="98"/>
      <c r="I153" s="99"/>
      <c r="J153" s="33"/>
      <c r="K153" s="99"/>
    </row>
    <row r="154" spans="1:14" x14ac:dyDescent="0.25">
      <c r="A154" s="97" t="s">
        <v>438</v>
      </c>
      <c r="B154" s="33" t="s">
        <v>7</v>
      </c>
      <c r="C154" s="185"/>
      <c r="D154" s="150">
        <f t="shared" si="9"/>
        <v>1144.0677966101696</v>
      </c>
      <c r="E154" s="150">
        <v>1350</v>
      </c>
      <c r="F154" s="29"/>
      <c r="G154" s="29"/>
      <c r="H154" s="98"/>
      <c r="I154" s="99"/>
      <c r="J154" s="33"/>
      <c r="K154" s="99"/>
    </row>
    <row r="155" spans="1:14" x14ac:dyDescent="0.25">
      <c r="A155" s="97" t="s">
        <v>454</v>
      </c>
      <c r="B155" s="33" t="s">
        <v>7</v>
      </c>
      <c r="C155" s="141"/>
      <c r="D155" s="150">
        <f t="shared" si="9"/>
        <v>10979.661016949152</v>
      </c>
      <c r="E155" s="150">
        <v>12956</v>
      </c>
      <c r="F155" s="29"/>
      <c r="G155" s="29"/>
      <c r="H155" s="98"/>
      <c r="I155" s="99"/>
      <c r="J155" s="33"/>
      <c r="K155" s="99"/>
    </row>
    <row r="156" spans="1:14" x14ac:dyDescent="0.25">
      <c r="A156" s="154" t="s">
        <v>108</v>
      </c>
      <c r="B156" s="33"/>
      <c r="C156" s="141"/>
      <c r="D156" s="150"/>
      <c r="E156" s="150"/>
      <c r="F156" s="29"/>
      <c r="G156" s="29"/>
      <c r="H156" s="98"/>
      <c r="I156" s="99"/>
      <c r="J156" s="33"/>
      <c r="K156" s="99"/>
    </row>
    <row r="157" spans="1:14" x14ac:dyDescent="0.25">
      <c r="A157" s="97" t="s">
        <v>52</v>
      </c>
      <c r="B157" s="33" t="s">
        <v>7</v>
      </c>
      <c r="C157" s="185"/>
      <c r="D157" s="150">
        <f t="shared" ref="D157:D169" si="10">E157/1.18</f>
        <v>327.82203389830511</v>
      </c>
      <c r="E157" s="150">
        <v>386.83</v>
      </c>
      <c r="F157" s="182" t="s">
        <v>279</v>
      </c>
      <c r="G157" s="182">
        <v>368</v>
      </c>
      <c r="H157" s="98"/>
      <c r="I157" s="99"/>
      <c r="J157" s="33"/>
      <c r="K157" s="99"/>
      <c r="L157" s="191"/>
    </row>
    <row r="158" spans="1:14" x14ac:dyDescent="0.25">
      <c r="A158" s="97" t="s">
        <v>132</v>
      </c>
      <c r="B158" s="33" t="s">
        <v>7</v>
      </c>
      <c r="C158" s="185"/>
      <c r="D158" s="150">
        <f t="shared" si="10"/>
        <v>65.381355932203391</v>
      </c>
      <c r="E158" s="153">
        <v>77.150000000000006</v>
      </c>
      <c r="F158" s="29"/>
      <c r="G158" s="29"/>
      <c r="H158" s="98"/>
      <c r="I158" s="99"/>
      <c r="J158" s="33"/>
      <c r="K158" s="99"/>
    </row>
    <row r="159" spans="1:14" x14ac:dyDescent="0.25">
      <c r="A159" s="97" t="s">
        <v>281</v>
      </c>
      <c r="B159" s="33" t="s">
        <v>7</v>
      </c>
      <c r="C159" s="141"/>
      <c r="D159" s="150">
        <f t="shared" si="10"/>
        <v>130.95762711864407</v>
      </c>
      <c r="E159" s="153">
        <v>154.53</v>
      </c>
      <c r="F159" s="29"/>
      <c r="G159" s="29"/>
      <c r="H159" s="98"/>
      <c r="I159" s="99"/>
      <c r="J159" s="33"/>
      <c r="K159" s="99"/>
    </row>
    <row r="160" spans="1:14" x14ac:dyDescent="0.25">
      <c r="A160" s="97" t="s">
        <v>175</v>
      </c>
      <c r="B160" s="33" t="s">
        <v>7</v>
      </c>
      <c r="C160" s="185"/>
      <c r="D160" s="150">
        <f t="shared" si="10"/>
        <v>699.15254237288138</v>
      </c>
      <c r="E160" s="150">
        <v>825</v>
      </c>
      <c r="F160" s="29"/>
      <c r="G160" s="29"/>
      <c r="H160" s="98"/>
      <c r="I160" s="99"/>
      <c r="J160" s="33"/>
      <c r="K160" s="99"/>
    </row>
    <row r="161" spans="1:12" x14ac:dyDescent="0.25">
      <c r="A161" s="97" t="s">
        <v>49</v>
      </c>
      <c r="B161" s="33" t="s">
        <v>7</v>
      </c>
      <c r="C161" s="141"/>
      <c r="D161" s="150">
        <f t="shared" si="10"/>
        <v>64.381355932203391</v>
      </c>
      <c r="E161" s="150">
        <v>75.97</v>
      </c>
      <c r="F161" s="213" t="s">
        <v>296</v>
      </c>
      <c r="G161" s="213">
        <v>75.97</v>
      </c>
      <c r="H161" s="98"/>
      <c r="I161" s="99"/>
      <c r="J161" s="33"/>
      <c r="K161" s="99"/>
    </row>
    <row r="162" spans="1:12" x14ac:dyDescent="0.25">
      <c r="A162" s="97" t="s">
        <v>186</v>
      </c>
      <c r="B162" s="33" t="s">
        <v>7</v>
      </c>
      <c r="C162" s="185"/>
      <c r="D162" s="150">
        <f t="shared" si="10"/>
        <v>3546</v>
      </c>
      <c r="E162" s="150">
        <v>4184.28</v>
      </c>
      <c r="F162" s="29"/>
      <c r="G162" s="29"/>
      <c r="H162" s="98"/>
      <c r="I162" s="99"/>
      <c r="J162" s="33"/>
      <c r="K162" s="99"/>
    </row>
    <row r="163" spans="1:12" x14ac:dyDescent="0.25">
      <c r="A163" s="97" t="s">
        <v>191</v>
      </c>
      <c r="B163" s="33" t="s">
        <v>7</v>
      </c>
      <c r="C163" s="141"/>
      <c r="D163" s="150">
        <f t="shared" si="10"/>
        <v>1864.6271186440681</v>
      </c>
      <c r="E163" s="150">
        <v>2200.2600000000002</v>
      </c>
      <c r="F163" s="213" t="s">
        <v>280</v>
      </c>
      <c r="G163" s="213" t="s">
        <v>426</v>
      </c>
      <c r="H163" s="98"/>
      <c r="I163" s="99"/>
      <c r="J163" s="33"/>
      <c r="K163" s="99"/>
    </row>
    <row r="164" spans="1:12" x14ac:dyDescent="0.25">
      <c r="A164" s="154" t="s">
        <v>220</v>
      </c>
      <c r="B164" s="33" t="s">
        <v>7</v>
      </c>
      <c r="C164" s="141"/>
      <c r="D164" s="150"/>
      <c r="E164" s="150"/>
      <c r="F164" s="29"/>
      <c r="G164" s="29"/>
      <c r="H164" s="98"/>
      <c r="I164" s="99"/>
      <c r="J164" s="33"/>
      <c r="K164" s="99"/>
    </row>
    <row r="165" spans="1:12" x14ac:dyDescent="0.25">
      <c r="A165" s="166" t="s">
        <v>455</v>
      </c>
      <c r="B165" s="33" t="s">
        <v>7</v>
      </c>
      <c r="C165" s="185"/>
      <c r="D165" s="150">
        <f t="shared" si="10"/>
        <v>716.10169491525426</v>
      </c>
      <c r="E165" s="150">
        <v>845</v>
      </c>
      <c r="F165" s="29"/>
      <c r="G165" s="29"/>
      <c r="H165" s="98"/>
      <c r="I165" s="99"/>
      <c r="J165" s="33"/>
      <c r="K165" s="99"/>
    </row>
    <row r="166" spans="1:12" x14ac:dyDescent="0.25">
      <c r="A166" s="97" t="s">
        <v>193</v>
      </c>
      <c r="B166" s="33" t="s">
        <v>7</v>
      </c>
      <c r="C166" s="185"/>
      <c r="D166" s="150">
        <f t="shared" si="10"/>
        <v>19918.000000000004</v>
      </c>
      <c r="E166" s="153">
        <v>23503.24</v>
      </c>
      <c r="F166" s="29"/>
      <c r="G166" s="29"/>
      <c r="H166" s="98"/>
      <c r="I166" s="99"/>
      <c r="J166" s="33"/>
      <c r="K166" s="99"/>
    </row>
    <row r="167" spans="1:12" x14ac:dyDescent="0.25">
      <c r="A167" s="97" t="s">
        <v>194</v>
      </c>
      <c r="B167" s="33" t="s">
        <v>7</v>
      </c>
      <c r="C167" s="141"/>
      <c r="D167" s="150">
        <f t="shared" si="10"/>
        <v>0</v>
      </c>
      <c r="E167" s="150"/>
      <c r="F167" s="29"/>
      <c r="G167" s="29"/>
      <c r="H167" s="98"/>
      <c r="I167" s="99"/>
      <c r="J167" s="33"/>
      <c r="K167" s="99"/>
    </row>
    <row r="168" spans="1:12" x14ac:dyDescent="0.25">
      <c r="A168" s="97" t="s">
        <v>204</v>
      </c>
      <c r="B168" s="33" t="s">
        <v>7</v>
      </c>
      <c r="C168" s="185"/>
      <c r="D168" s="150">
        <f t="shared" si="10"/>
        <v>10996.245762711866</v>
      </c>
      <c r="E168" s="153">
        <v>12975.57</v>
      </c>
      <c r="F168" s="29"/>
      <c r="G168" s="29"/>
      <c r="H168" s="98"/>
      <c r="I168" s="99"/>
      <c r="J168" s="33"/>
      <c r="K168" s="99"/>
    </row>
    <row r="169" spans="1:12" x14ac:dyDescent="0.25">
      <c r="A169" s="97" t="s">
        <v>44</v>
      </c>
      <c r="B169" s="33" t="s">
        <v>7</v>
      </c>
      <c r="C169" s="185"/>
      <c r="D169" s="150">
        <f t="shared" si="10"/>
        <v>334.74576271186442</v>
      </c>
      <c r="E169" s="153">
        <v>395</v>
      </c>
      <c r="F169" s="29"/>
      <c r="G169" s="29"/>
      <c r="H169" s="98"/>
      <c r="I169" s="99"/>
      <c r="J169" s="33"/>
      <c r="K169" s="99"/>
    </row>
    <row r="170" spans="1:12" x14ac:dyDescent="0.25">
      <c r="A170" s="154" t="s">
        <v>109</v>
      </c>
      <c r="B170" s="33"/>
      <c r="C170" s="141"/>
      <c r="D170" s="150"/>
      <c r="E170" s="150"/>
      <c r="F170" s="29"/>
      <c r="G170" s="29"/>
      <c r="H170" s="98"/>
      <c r="I170" s="99"/>
      <c r="J170" s="33"/>
      <c r="K170" s="99"/>
    </row>
    <row r="171" spans="1:12" x14ac:dyDescent="0.25">
      <c r="A171" s="97" t="s">
        <v>176</v>
      </c>
      <c r="B171" s="33" t="s">
        <v>8</v>
      </c>
      <c r="C171" s="185"/>
      <c r="D171" s="150">
        <f t="shared" ref="D171:D179" si="11">E171/1.18</f>
        <v>72.644067796610173</v>
      </c>
      <c r="E171" s="153">
        <v>85.72</v>
      </c>
      <c r="F171" s="206">
        <v>156</v>
      </c>
      <c r="G171" s="29"/>
      <c r="H171" s="98"/>
      <c r="I171" s="99"/>
      <c r="J171" s="33"/>
      <c r="K171" s="99"/>
    </row>
    <row r="172" spans="1:12" x14ac:dyDescent="0.25">
      <c r="A172" s="97" t="s">
        <v>181</v>
      </c>
      <c r="B172" s="33" t="s">
        <v>8</v>
      </c>
      <c r="C172" s="185"/>
      <c r="D172" s="150">
        <f t="shared" si="11"/>
        <v>22.203389830508474</v>
      </c>
      <c r="E172" s="150">
        <v>26.2</v>
      </c>
      <c r="F172" s="29"/>
      <c r="G172" s="29"/>
      <c r="H172" s="98"/>
      <c r="I172" s="99"/>
      <c r="J172" s="33"/>
      <c r="K172" s="192"/>
      <c r="L172" s="193">
        <v>13.5</v>
      </c>
    </row>
    <row r="173" spans="1:12" x14ac:dyDescent="0.25">
      <c r="A173" s="97" t="s">
        <v>178</v>
      </c>
      <c r="B173" s="33" t="s">
        <v>8</v>
      </c>
      <c r="C173" s="185"/>
      <c r="D173" s="150">
        <f t="shared" si="11"/>
        <v>13.601694915254239</v>
      </c>
      <c r="E173" s="150">
        <v>16.05</v>
      </c>
      <c r="F173" s="213" t="s">
        <v>430</v>
      </c>
      <c r="G173" s="213">
        <v>16.05</v>
      </c>
      <c r="H173" s="98"/>
      <c r="I173" s="99"/>
      <c r="J173" s="33"/>
      <c r="K173" s="192"/>
      <c r="L173" s="193">
        <v>19.5</v>
      </c>
    </row>
    <row r="174" spans="1:12" x14ac:dyDescent="0.25">
      <c r="A174" s="97" t="s">
        <v>428</v>
      </c>
      <c r="B174" s="33" t="s">
        <v>8</v>
      </c>
      <c r="C174" s="185"/>
      <c r="D174" s="150">
        <f t="shared" si="11"/>
        <v>18.728813559322035</v>
      </c>
      <c r="E174" s="150">
        <v>22.1</v>
      </c>
      <c r="F174" s="213" t="s">
        <v>429</v>
      </c>
      <c r="G174" s="213">
        <v>22.1</v>
      </c>
      <c r="H174" s="98"/>
      <c r="I174" s="99"/>
      <c r="J174" s="33"/>
      <c r="K174" s="192"/>
      <c r="L174" s="231"/>
    </row>
    <row r="175" spans="1:12" x14ac:dyDescent="0.25">
      <c r="A175" s="97" t="s">
        <v>192</v>
      </c>
      <c r="B175" s="33" t="s">
        <v>8</v>
      </c>
      <c r="C175" s="185"/>
      <c r="D175" s="150">
        <f t="shared" si="11"/>
        <v>46.779661016949156</v>
      </c>
      <c r="E175" s="150">
        <v>55.2</v>
      </c>
      <c r="F175" s="213" t="s">
        <v>427</v>
      </c>
      <c r="G175" s="213">
        <v>55.2</v>
      </c>
      <c r="H175" s="98"/>
      <c r="I175" s="99"/>
      <c r="J175" s="33"/>
      <c r="K175" s="99"/>
    </row>
    <row r="176" spans="1:12" x14ac:dyDescent="0.25">
      <c r="A176" s="97" t="s">
        <v>43</v>
      </c>
      <c r="B176" s="33" t="s">
        <v>8</v>
      </c>
      <c r="C176" s="141"/>
      <c r="D176" s="150">
        <f t="shared" si="11"/>
        <v>38.5</v>
      </c>
      <c r="E176" s="150">
        <v>45.43</v>
      </c>
      <c r="F176" s="29"/>
      <c r="G176" s="29"/>
      <c r="H176" s="98"/>
      <c r="I176" s="99"/>
      <c r="J176" s="33"/>
      <c r="K176" s="99"/>
    </row>
    <row r="177" spans="1:12" x14ac:dyDescent="0.25">
      <c r="A177" s="97" t="s">
        <v>105</v>
      </c>
      <c r="B177" s="33" t="s">
        <v>7</v>
      </c>
      <c r="C177" s="141"/>
      <c r="D177" s="150">
        <f t="shared" si="11"/>
        <v>1016.949152542373</v>
      </c>
      <c r="E177" s="150">
        <v>1200</v>
      </c>
      <c r="F177" s="29"/>
      <c r="G177" s="29"/>
      <c r="H177" s="98"/>
      <c r="I177" s="99"/>
      <c r="J177" s="33"/>
      <c r="K177" s="99"/>
    </row>
    <row r="178" spans="1:12" x14ac:dyDescent="0.25">
      <c r="A178" s="97" t="s">
        <v>103</v>
      </c>
      <c r="B178" s="33" t="s">
        <v>7</v>
      </c>
      <c r="C178" s="141"/>
      <c r="D178" s="150">
        <f t="shared" si="11"/>
        <v>1016.949152542373</v>
      </c>
      <c r="E178" s="150">
        <v>1200</v>
      </c>
      <c r="F178" s="29"/>
      <c r="G178" s="29"/>
      <c r="H178" s="98"/>
      <c r="I178" s="99"/>
      <c r="J178" s="33"/>
      <c r="K178" s="99"/>
    </row>
    <row r="179" spans="1:12" ht="19.5" x14ac:dyDescent="0.35">
      <c r="A179" s="97" t="s">
        <v>106</v>
      </c>
      <c r="B179" s="33" t="s">
        <v>7</v>
      </c>
      <c r="C179" s="141"/>
      <c r="D179" s="150">
        <f t="shared" si="11"/>
        <v>508.47457627118649</v>
      </c>
      <c r="E179" s="150">
        <v>600</v>
      </c>
      <c r="F179" s="43"/>
      <c r="G179" s="43"/>
      <c r="H179" s="98"/>
      <c r="I179" s="99"/>
      <c r="J179" s="33"/>
      <c r="K179" s="99"/>
    </row>
    <row r="180" spans="1:12" x14ac:dyDescent="0.25">
      <c r="A180" s="97"/>
      <c r="B180" s="33"/>
      <c r="C180" s="141"/>
      <c r="D180" s="150"/>
      <c r="E180" s="150"/>
      <c r="F180" s="29"/>
      <c r="G180" s="29"/>
      <c r="H180" s="98"/>
      <c r="I180" s="99"/>
      <c r="J180" s="33"/>
      <c r="K180" s="99"/>
    </row>
    <row r="181" spans="1:12" x14ac:dyDescent="0.25">
      <c r="A181" s="97" t="s">
        <v>187</v>
      </c>
      <c r="B181" s="33" t="s">
        <v>7</v>
      </c>
      <c r="C181" s="185"/>
      <c r="D181" s="150">
        <v>8</v>
      </c>
      <c r="E181" s="150">
        <f>D181*1.18</f>
        <v>9.44</v>
      </c>
      <c r="F181" s="29"/>
      <c r="G181" s="29"/>
      <c r="H181" s="98"/>
      <c r="I181" s="99"/>
      <c r="J181" s="33"/>
      <c r="K181" s="99"/>
    </row>
    <row r="182" spans="1:12" x14ac:dyDescent="0.25">
      <c r="A182" s="97" t="s">
        <v>135</v>
      </c>
      <c r="B182" s="33" t="s">
        <v>7</v>
      </c>
      <c r="C182" s="185"/>
      <c r="D182" s="150">
        <v>11.22</v>
      </c>
      <c r="E182" s="150">
        <f t="shared" ref="E182:E192" si="12">D182*1.18</f>
        <v>13.239599999999999</v>
      </c>
      <c r="F182" s="29"/>
      <c r="G182" s="29"/>
      <c r="H182" s="98"/>
      <c r="I182" s="99"/>
      <c r="J182" s="33"/>
      <c r="K182" s="99"/>
    </row>
    <row r="183" spans="1:12" x14ac:dyDescent="0.25">
      <c r="A183" s="97" t="s">
        <v>221</v>
      </c>
      <c r="B183" s="33" t="s">
        <v>7</v>
      </c>
      <c r="C183" s="185"/>
      <c r="D183" s="150">
        <v>0.45</v>
      </c>
      <c r="E183" s="150">
        <f t="shared" si="12"/>
        <v>0.53100000000000003</v>
      </c>
      <c r="F183" s="29"/>
      <c r="G183" s="29"/>
      <c r="H183" s="98"/>
      <c r="I183" s="99"/>
      <c r="J183" s="33"/>
      <c r="K183" s="99"/>
    </row>
    <row r="184" spans="1:12" x14ac:dyDescent="0.25">
      <c r="A184" s="97" t="s">
        <v>222</v>
      </c>
      <c r="B184" s="33" t="s">
        <v>7</v>
      </c>
      <c r="C184" s="185"/>
      <c r="D184" s="150">
        <v>0.8</v>
      </c>
      <c r="E184" s="150">
        <f t="shared" si="12"/>
        <v>0.94399999999999995</v>
      </c>
      <c r="F184" s="29"/>
      <c r="G184" s="29"/>
      <c r="H184" s="98"/>
      <c r="I184" s="99"/>
      <c r="J184" s="33"/>
      <c r="K184" s="99"/>
    </row>
    <row r="185" spans="1:12" x14ac:dyDescent="0.25">
      <c r="A185" s="97" t="s">
        <v>225</v>
      </c>
      <c r="B185" s="33" t="s">
        <v>7</v>
      </c>
      <c r="C185" s="185"/>
      <c r="D185" s="150">
        <v>0.4</v>
      </c>
      <c r="E185" s="150">
        <f t="shared" si="12"/>
        <v>0.47199999999999998</v>
      </c>
      <c r="F185" s="29"/>
      <c r="G185" s="29"/>
      <c r="H185" s="98"/>
      <c r="I185" s="99"/>
      <c r="J185" s="33"/>
      <c r="K185" s="99"/>
    </row>
    <row r="186" spans="1:12" x14ac:dyDescent="0.25">
      <c r="A186" s="97" t="s">
        <v>223</v>
      </c>
      <c r="B186" s="33" t="s">
        <v>7</v>
      </c>
      <c r="C186" s="185"/>
      <c r="D186" s="150">
        <v>0.7</v>
      </c>
      <c r="E186" s="150">
        <f t="shared" si="12"/>
        <v>0.82599999999999996</v>
      </c>
      <c r="F186" s="29"/>
      <c r="G186" s="29"/>
      <c r="H186" s="98"/>
      <c r="I186" s="99"/>
      <c r="J186" s="33"/>
      <c r="K186" s="99"/>
    </row>
    <row r="187" spans="1:12" x14ac:dyDescent="0.25">
      <c r="A187" s="97" t="s">
        <v>224</v>
      </c>
      <c r="B187" s="33" t="s">
        <v>7</v>
      </c>
      <c r="C187" s="185"/>
      <c r="D187" s="150">
        <v>17</v>
      </c>
      <c r="E187" s="150">
        <f t="shared" si="12"/>
        <v>20.059999999999999</v>
      </c>
      <c r="F187" s="29"/>
      <c r="G187" s="29"/>
      <c r="H187" s="98"/>
      <c r="I187" s="99"/>
      <c r="J187" s="33"/>
      <c r="K187" s="99"/>
    </row>
    <row r="188" spans="1:12" x14ac:dyDescent="0.25">
      <c r="A188" s="97" t="s">
        <v>130</v>
      </c>
      <c r="B188" s="33" t="s">
        <v>7</v>
      </c>
      <c r="C188" s="185"/>
      <c r="D188" s="150">
        <v>38.5</v>
      </c>
      <c r="E188" s="150">
        <f t="shared" si="12"/>
        <v>45.43</v>
      </c>
      <c r="F188" s="29"/>
      <c r="G188" s="29"/>
      <c r="H188" s="98"/>
      <c r="I188" s="99"/>
      <c r="J188" s="33"/>
      <c r="K188" s="99"/>
    </row>
    <row r="189" spans="1:12" x14ac:dyDescent="0.25">
      <c r="A189" s="97" t="s">
        <v>73</v>
      </c>
      <c r="B189" s="33" t="s">
        <v>7</v>
      </c>
      <c r="C189" s="185"/>
      <c r="D189" s="150">
        <v>35.200000000000003</v>
      </c>
      <c r="E189" s="150">
        <f t="shared" si="12"/>
        <v>41.536000000000001</v>
      </c>
      <c r="F189" s="29"/>
      <c r="G189" s="29"/>
      <c r="H189" s="98"/>
      <c r="I189" s="99"/>
      <c r="J189" s="33"/>
      <c r="K189" s="99"/>
    </row>
    <row r="190" spans="1:12" x14ac:dyDescent="0.25">
      <c r="A190" s="97" t="s">
        <v>145</v>
      </c>
      <c r="B190" s="33" t="s">
        <v>7</v>
      </c>
      <c r="C190" s="185"/>
      <c r="D190" s="150">
        <v>17.27</v>
      </c>
      <c r="E190" s="150">
        <f t="shared" si="12"/>
        <v>20.378599999999999</v>
      </c>
      <c r="F190" s="29"/>
      <c r="G190" s="29"/>
      <c r="H190" s="98"/>
      <c r="I190" s="99"/>
      <c r="J190" s="33"/>
      <c r="K190" s="99"/>
      <c r="L190" s="191">
        <v>16.600000000000001</v>
      </c>
    </row>
    <row r="191" spans="1:12" x14ac:dyDescent="0.25">
      <c r="A191" s="97" t="s">
        <v>160</v>
      </c>
      <c r="B191" s="33" t="s">
        <v>7</v>
      </c>
      <c r="C191" s="185"/>
      <c r="D191" s="150">
        <v>12.21</v>
      </c>
      <c r="E191" s="150">
        <f t="shared" si="12"/>
        <v>14.4078</v>
      </c>
      <c r="F191" s="29"/>
      <c r="G191" s="29"/>
      <c r="H191" s="98"/>
      <c r="I191" s="99"/>
      <c r="J191" s="33"/>
      <c r="K191" s="99"/>
      <c r="L191" s="191">
        <v>11.5</v>
      </c>
    </row>
    <row r="192" spans="1:12" x14ac:dyDescent="0.25">
      <c r="A192" s="97" t="s">
        <v>71</v>
      </c>
      <c r="B192" s="33" t="s">
        <v>7</v>
      </c>
      <c r="C192" s="185"/>
      <c r="D192" s="150">
        <v>15.906000000000002</v>
      </c>
      <c r="E192" s="150">
        <f t="shared" si="12"/>
        <v>18.769080000000002</v>
      </c>
      <c r="F192" s="29"/>
      <c r="G192" s="29"/>
      <c r="H192" s="98"/>
      <c r="I192" s="99"/>
      <c r="J192" s="33"/>
      <c r="K192" s="99"/>
    </row>
    <row r="193" spans="1:19" x14ac:dyDescent="0.25">
      <c r="A193" s="97" t="s">
        <v>237</v>
      </c>
      <c r="B193" s="33" t="s">
        <v>7</v>
      </c>
      <c r="C193" s="185"/>
      <c r="D193" s="150">
        <f>E193/1.18</f>
        <v>299.80508474576271</v>
      </c>
      <c r="E193" s="150">
        <v>353.77</v>
      </c>
      <c r="F193" s="232" t="s">
        <v>433</v>
      </c>
      <c r="G193" s="232">
        <v>353.77</v>
      </c>
      <c r="H193" s="98"/>
      <c r="I193" s="99"/>
      <c r="J193" s="33"/>
      <c r="K193" s="99"/>
    </row>
    <row r="194" spans="1:19" x14ac:dyDescent="0.25">
      <c r="A194" s="97"/>
      <c r="B194" s="33"/>
      <c r="C194" s="141"/>
      <c r="D194" s="150"/>
      <c r="E194" s="150"/>
      <c r="F194" s="29"/>
      <c r="G194" s="29"/>
      <c r="H194" s="98"/>
      <c r="I194" s="100"/>
      <c r="J194" s="33"/>
      <c r="K194" s="100"/>
    </row>
    <row r="195" spans="1:19" x14ac:dyDescent="0.25">
      <c r="A195" s="97"/>
      <c r="B195" s="33"/>
      <c r="C195" s="141"/>
      <c r="D195" s="150"/>
      <c r="E195" s="150"/>
      <c r="F195" s="30"/>
      <c r="G195" s="30"/>
      <c r="H195" s="98"/>
      <c r="I195" s="99"/>
      <c r="J195" s="99"/>
      <c r="K195" s="99"/>
    </row>
    <row r="196" spans="1:19" x14ac:dyDescent="0.25">
      <c r="A196" s="97"/>
      <c r="B196" s="33"/>
      <c r="C196" s="141"/>
      <c r="D196" s="150"/>
      <c r="E196" s="150"/>
      <c r="F196" s="29"/>
      <c r="G196" s="29"/>
      <c r="H196" s="98"/>
      <c r="I196" s="99"/>
      <c r="J196" s="33"/>
      <c r="K196" s="99"/>
    </row>
    <row r="197" spans="1:19" x14ac:dyDescent="0.25">
      <c r="A197" s="97"/>
      <c r="B197" s="33"/>
      <c r="C197" s="141"/>
      <c r="D197" s="150"/>
      <c r="E197" s="150"/>
      <c r="F197" s="30"/>
      <c r="G197" s="30"/>
      <c r="H197" s="98"/>
      <c r="I197" s="99"/>
      <c r="J197" s="33"/>
      <c r="K197" s="99"/>
    </row>
    <row r="198" spans="1:19" x14ac:dyDescent="0.25">
      <c r="D198" s="196"/>
      <c r="E198" s="196"/>
    </row>
    <row r="199" spans="1:19" x14ac:dyDescent="0.25">
      <c r="A199" s="97"/>
      <c r="B199" s="33"/>
      <c r="C199" s="141"/>
      <c r="D199" s="150"/>
      <c r="E199" s="150"/>
      <c r="F199" s="29"/>
      <c r="G199" s="29"/>
      <c r="H199" s="98"/>
      <c r="I199" s="99"/>
      <c r="J199" s="33"/>
      <c r="K199" s="99"/>
    </row>
    <row r="200" spans="1:19" x14ac:dyDescent="0.25">
      <c r="A200" s="97"/>
      <c r="B200" s="33"/>
      <c r="C200" s="141"/>
      <c r="D200" s="150"/>
      <c r="E200" s="150"/>
      <c r="F200" s="29"/>
      <c r="G200" s="29"/>
      <c r="H200" s="98"/>
      <c r="I200" s="99"/>
      <c r="J200" s="33"/>
      <c r="K200" s="99"/>
    </row>
    <row r="201" spans="1:19" x14ac:dyDescent="0.25">
      <c r="A201" s="97"/>
      <c r="B201" s="33"/>
      <c r="C201" s="141"/>
      <c r="D201" s="150"/>
      <c r="E201" s="150"/>
      <c r="F201" s="30"/>
      <c r="G201" s="30"/>
      <c r="H201" s="98"/>
      <c r="I201" s="99"/>
      <c r="J201" s="33"/>
      <c r="K201" s="99"/>
    </row>
    <row r="202" spans="1:19" x14ac:dyDescent="0.25">
      <c r="A202" s="97"/>
      <c r="B202" s="33"/>
      <c r="C202" s="141"/>
      <c r="D202" s="150"/>
      <c r="E202" s="150"/>
      <c r="F202" s="29"/>
      <c r="G202" s="29"/>
      <c r="H202" s="98"/>
      <c r="I202" s="100"/>
      <c r="J202" s="33"/>
      <c r="K202" s="100"/>
    </row>
    <row r="203" spans="1:19" x14ac:dyDescent="0.25">
      <c r="A203" s="97"/>
      <c r="B203" s="33"/>
      <c r="C203" s="141"/>
      <c r="D203" s="150"/>
      <c r="E203" s="150"/>
      <c r="F203" s="30"/>
      <c r="G203" s="30"/>
      <c r="H203" s="98"/>
      <c r="I203" s="99"/>
      <c r="J203" s="99"/>
      <c r="K203" s="99"/>
    </row>
    <row r="204" spans="1:19" x14ac:dyDescent="0.25">
      <c r="A204" s="97"/>
      <c r="B204" s="33"/>
      <c r="C204" s="141"/>
      <c r="D204" s="150"/>
      <c r="E204" s="150"/>
      <c r="F204" s="29"/>
      <c r="G204" s="29"/>
      <c r="H204" s="98"/>
      <c r="I204" s="99"/>
      <c r="J204" s="33"/>
      <c r="K204" s="99"/>
    </row>
    <row r="205" spans="1:19" x14ac:dyDescent="0.25">
      <c r="A205" s="97"/>
      <c r="B205" s="33"/>
      <c r="C205" s="141"/>
      <c r="D205" s="150"/>
      <c r="E205" s="150"/>
      <c r="F205" s="30"/>
      <c r="G205" s="30"/>
      <c r="H205" s="98"/>
      <c r="I205" s="99"/>
      <c r="J205" s="33"/>
      <c r="K205" s="99"/>
    </row>
    <row r="206" spans="1:19" x14ac:dyDescent="0.25">
      <c r="D206" s="196"/>
      <c r="E206" s="196"/>
      <c r="F206" s="40"/>
      <c r="G206" s="40"/>
      <c r="H206" s="36"/>
      <c r="I206" s="34"/>
      <c r="J206" s="37"/>
      <c r="K206" s="34"/>
      <c r="L206" s="35"/>
      <c r="M206" s="35"/>
      <c r="N206" s="35"/>
      <c r="O206" s="38"/>
      <c r="P206" s="35"/>
      <c r="Q206" s="35"/>
      <c r="R206" s="35"/>
      <c r="S206" s="35"/>
    </row>
    <row r="207" spans="1:19" x14ac:dyDescent="0.25">
      <c r="F207" s="40"/>
      <c r="G207" s="40"/>
      <c r="H207" s="36"/>
      <c r="I207" s="34"/>
      <c r="J207" s="37"/>
      <c r="K207" s="34"/>
      <c r="L207" s="35"/>
      <c r="M207" s="35"/>
      <c r="N207" s="35"/>
      <c r="O207" s="38"/>
      <c r="P207" s="35"/>
      <c r="Q207" s="35"/>
      <c r="R207" s="35"/>
      <c r="S207" s="35"/>
    </row>
    <row r="208" spans="1:19" x14ac:dyDescent="0.25">
      <c r="F208" s="40"/>
      <c r="G208" s="40"/>
      <c r="H208" s="36"/>
      <c r="I208" s="34"/>
      <c r="J208" s="37"/>
      <c r="K208" s="34"/>
      <c r="L208" s="35"/>
      <c r="M208" s="35"/>
      <c r="N208" s="35"/>
      <c r="O208" s="38"/>
      <c r="P208" s="35"/>
      <c r="Q208" s="35"/>
      <c r="R208" s="35"/>
      <c r="S208" s="35"/>
    </row>
    <row r="209" spans="6:19" x14ac:dyDescent="0.25">
      <c r="F209" s="40"/>
      <c r="G209" s="40"/>
      <c r="H209" s="36"/>
      <c r="I209" s="34"/>
      <c r="J209" s="37"/>
      <c r="K209" s="34"/>
      <c r="L209" s="35"/>
      <c r="M209" s="35"/>
      <c r="N209" s="35"/>
      <c r="O209" s="38"/>
      <c r="P209" s="35"/>
      <c r="Q209" s="35"/>
      <c r="R209" s="35"/>
      <c r="S209" s="35"/>
    </row>
    <row r="210" spans="6:19" x14ac:dyDescent="0.25">
      <c r="F210" s="40"/>
      <c r="G210" s="40"/>
      <c r="H210" s="36"/>
      <c r="I210" s="34"/>
      <c r="J210" s="37"/>
      <c r="K210" s="34"/>
      <c r="L210" s="35"/>
      <c r="M210" s="35"/>
      <c r="N210" s="35"/>
      <c r="O210" s="38"/>
      <c r="P210" s="35"/>
      <c r="Q210" s="35"/>
      <c r="R210" s="35"/>
      <c r="S210" s="35"/>
    </row>
    <row r="211" spans="6:19" x14ac:dyDescent="0.25">
      <c r="F211" s="40"/>
      <c r="G211" s="40"/>
      <c r="H211" s="36"/>
      <c r="I211" s="34"/>
      <c r="J211" s="37"/>
      <c r="K211" s="34"/>
      <c r="L211" s="35"/>
      <c r="M211" s="35"/>
      <c r="N211" s="35"/>
      <c r="O211" s="38"/>
      <c r="P211" s="35"/>
      <c r="Q211" s="35"/>
      <c r="R211" s="35"/>
      <c r="S211" s="35"/>
    </row>
    <row r="212" spans="6:19" x14ac:dyDescent="0.25">
      <c r="F212" s="40"/>
      <c r="G212" s="40"/>
      <c r="H212" s="36"/>
      <c r="I212" s="34"/>
      <c r="J212" s="37"/>
      <c r="K212" s="34"/>
      <c r="L212" s="35"/>
      <c r="M212" s="35"/>
      <c r="N212" s="35"/>
      <c r="O212" s="38"/>
      <c r="P212" s="35"/>
      <c r="Q212" s="35"/>
      <c r="R212" s="35"/>
      <c r="S212" s="35"/>
    </row>
    <row r="213" spans="6:19" x14ac:dyDescent="0.25">
      <c r="F213" s="40"/>
      <c r="G213" s="40"/>
      <c r="H213" s="36"/>
      <c r="I213" s="34"/>
      <c r="J213" s="37"/>
      <c r="K213" s="34"/>
      <c r="L213" s="35"/>
      <c r="M213" s="35"/>
      <c r="N213" s="35"/>
      <c r="O213" s="38"/>
      <c r="P213" s="35"/>
      <c r="Q213" s="35"/>
      <c r="R213" s="35"/>
      <c r="S213" s="35"/>
    </row>
    <row r="214" spans="6:19" x14ac:dyDescent="0.25">
      <c r="F214" s="41"/>
      <c r="G214" s="41"/>
      <c r="H214" s="36"/>
      <c r="I214" s="34"/>
      <c r="J214" s="37"/>
      <c r="K214" s="34"/>
      <c r="L214" s="35"/>
      <c r="M214" s="35"/>
      <c r="N214" s="35"/>
      <c r="O214" s="38"/>
      <c r="P214" s="35"/>
      <c r="Q214" s="35"/>
      <c r="R214" s="35"/>
      <c r="S214" s="35"/>
    </row>
    <row r="215" spans="6:19" x14ac:dyDescent="0.25">
      <c r="F215" s="40"/>
      <c r="G215" s="40"/>
      <c r="H215" s="36"/>
      <c r="I215" s="34"/>
      <c r="J215" s="37"/>
      <c r="K215" s="34"/>
      <c r="L215" s="35"/>
      <c r="M215" s="35"/>
      <c r="N215" s="35"/>
      <c r="O215" s="38"/>
      <c r="P215" s="35"/>
      <c r="Q215" s="35"/>
      <c r="R215" s="35"/>
      <c r="S215" s="35"/>
    </row>
    <row r="216" spans="6:19" x14ac:dyDescent="0.25">
      <c r="F216" s="40"/>
      <c r="G216" s="40"/>
      <c r="H216" s="36"/>
      <c r="I216" s="34"/>
      <c r="J216" s="37"/>
      <c r="K216" s="34"/>
      <c r="L216" s="35"/>
      <c r="M216" s="35"/>
      <c r="N216" s="35"/>
      <c r="O216" s="38"/>
      <c r="P216" s="35"/>
      <c r="Q216" s="35"/>
      <c r="R216" s="35"/>
      <c r="S216" s="35"/>
    </row>
    <row r="217" spans="6:19" x14ac:dyDescent="0.25">
      <c r="F217" s="40"/>
      <c r="G217" s="40"/>
      <c r="H217" s="36"/>
      <c r="I217" s="34"/>
      <c r="J217" s="37"/>
      <c r="K217" s="34"/>
      <c r="L217" s="35"/>
      <c r="M217" s="35"/>
      <c r="N217" s="35"/>
      <c r="O217" s="38"/>
      <c r="P217" s="35"/>
      <c r="Q217" s="35"/>
      <c r="R217" s="35"/>
      <c r="S217" s="35"/>
    </row>
    <row r="218" spans="6:19" x14ac:dyDescent="0.25">
      <c r="F218" s="40"/>
      <c r="G218" s="40"/>
      <c r="H218" s="36"/>
      <c r="I218" s="34"/>
      <c r="J218" s="37"/>
      <c r="K218" s="34"/>
      <c r="L218" s="35"/>
      <c r="M218" s="35"/>
      <c r="N218" s="35"/>
      <c r="O218" s="38"/>
      <c r="P218" s="35"/>
      <c r="Q218" s="35"/>
      <c r="R218" s="35"/>
      <c r="S218" s="35"/>
    </row>
    <row r="219" spans="6:19" x14ac:dyDescent="0.25">
      <c r="F219" s="40"/>
      <c r="G219" s="40"/>
      <c r="H219" s="36"/>
      <c r="I219" s="34"/>
      <c r="J219" s="37"/>
      <c r="K219" s="34"/>
      <c r="L219" s="35"/>
      <c r="M219" s="35"/>
      <c r="N219" s="35"/>
      <c r="O219" s="38"/>
      <c r="P219" s="35"/>
      <c r="Q219" s="35"/>
      <c r="R219" s="35"/>
      <c r="S219" s="35"/>
    </row>
    <row r="220" spans="6:19" x14ac:dyDescent="0.25">
      <c r="F220" s="40"/>
      <c r="G220" s="40"/>
      <c r="H220" s="36"/>
      <c r="I220" s="34"/>
      <c r="J220" s="37"/>
      <c r="K220" s="34"/>
      <c r="L220" s="35"/>
      <c r="M220" s="35"/>
      <c r="N220" s="35"/>
      <c r="O220" s="38"/>
      <c r="P220" s="35"/>
      <c r="Q220" s="35"/>
      <c r="R220" s="35"/>
      <c r="S220" s="35"/>
    </row>
    <row r="221" spans="6:19" x14ac:dyDescent="0.25">
      <c r="F221" s="40"/>
      <c r="G221" s="40"/>
      <c r="H221" s="36"/>
      <c r="I221" s="34"/>
      <c r="J221" s="37"/>
      <c r="K221" s="34"/>
      <c r="L221" s="35"/>
      <c r="M221" s="35"/>
      <c r="N221" s="35"/>
      <c r="O221" s="38"/>
      <c r="P221" s="35"/>
      <c r="Q221" s="35"/>
      <c r="R221" s="35"/>
      <c r="S221" s="35"/>
    </row>
    <row r="222" spans="6:19" x14ac:dyDescent="0.25">
      <c r="F222" s="40"/>
      <c r="G222" s="40"/>
      <c r="H222" s="36"/>
      <c r="I222" s="34"/>
      <c r="J222" s="37"/>
      <c r="K222" s="34"/>
      <c r="L222" s="35"/>
      <c r="M222" s="35"/>
      <c r="N222" s="35"/>
      <c r="O222" s="38"/>
      <c r="P222" s="35"/>
      <c r="Q222" s="35"/>
      <c r="R222" s="35"/>
      <c r="S222" s="35"/>
    </row>
    <row r="223" spans="6:19" x14ac:dyDescent="0.25">
      <c r="F223" s="40"/>
      <c r="G223" s="40"/>
      <c r="H223" s="36"/>
      <c r="I223" s="34"/>
      <c r="J223" s="37"/>
      <c r="K223" s="34"/>
      <c r="L223" s="35"/>
      <c r="M223" s="35"/>
      <c r="N223" s="35"/>
      <c r="O223" s="38"/>
      <c r="P223" s="35"/>
      <c r="Q223" s="35"/>
      <c r="R223" s="35"/>
      <c r="S223" s="35"/>
    </row>
    <row r="224" spans="6:19" x14ac:dyDescent="0.25">
      <c r="F224" s="40"/>
      <c r="G224" s="40"/>
      <c r="H224" s="36"/>
      <c r="I224" s="34"/>
      <c r="J224" s="37"/>
      <c r="K224" s="34"/>
      <c r="L224" s="38"/>
      <c r="M224" s="35"/>
      <c r="N224" s="35"/>
      <c r="O224" s="38"/>
      <c r="P224" s="35"/>
      <c r="Q224" s="35"/>
      <c r="R224" s="35"/>
      <c r="S224" s="35"/>
    </row>
    <row r="225" spans="6:19" x14ac:dyDescent="0.25">
      <c r="F225" s="40"/>
      <c r="G225" s="40"/>
      <c r="H225" s="36"/>
      <c r="I225" s="34"/>
      <c r="J225" s="37"/>
      <c r="K225" s="34"/>
      <c r="L225" s="38"/>
      <c r="M225" s="35"/>
      <c r="N225" s="35"/>
      <c r="O225" s="38"/>
      <c r="P225" s="35"/>
      <c r="Q225" s="35"/>
      <c r="R225" s="35"/>
      <c r="S225" s="35"/>
    </row>
    <row r="226" spans="6:19" x14ac:dyDescent="0.25">
      <c r="F226" s="40"/>
      <c r="G226" s="40"/>
      <c r="H226" s="36"/>
      <c r="I226" s="34"/>
      <c r="J226" s="37"/>
      <c r="K226" s="34"/>
      <c r="L226" s="38"/>
      <c r="M226" s="35"/>
      <c r="N226" s="35"/>
      <c r="O226" s="38"/>
      <c r="P226" s="35"/>
      <c r="Q226" s="35"/>
      <c r="R226" s="35"/>
      <c r="S226" s="35"/>
    </row>
    <row r="227" spans="6:19" x14ac:dyDescent="0.25">
      <c r="F227" s="40"/>
      <c r="G227" s="40"/>
      <c r="H227" s="36"/>
      <c r="I227" s="34"/>
      <c r="J227" s="37"/>
      <c r="K227" s="34"/>
      <c r="L227" s="38"/>
      <c r="M227" s="35"/>
      <c r="N227" s="35"/>
      <c r="O227" s="38"/>
      <c r="P227" s="35"/>
      <c r="Q227" s="35"/>
      <c r="R227" s="35"/>
      <c r="S227" s="35"/>
    </row>
    <row r="228" spans="6:19" x14ac:dyDescent="0.25">
      <c r="F228" s="40"/>
      <c r="G228" s="40"/>
      <c r="H228" s="36"/>
      <c r="I228" s="34"/>
      <c r="J228" s="37"/>
      <c r="K228" s="34"/>
      <c r="L228" s="38"/>
      <c r="M228" s="35"/>
      <c r="N228" s="35"/>
      <c r="O228" s="38"/>
      <c r="P228" s="35"/>
      <c r="Q228" s="35"/>
      <c r="R228" s="35"/>
      <c r="S228" s="35"/>
    </row>
    <row r="229" spans="6:19" x14ac:dyDescent="0.25">
      <c r="F229" s="40"/>
      <c r="G229" s="40"/>
      <c r="H229" s="36"/>
      <c r="I229" s="34"/>
      <c r="J229" s="37"/>
      <c r="K229" s="34"/>
      <c r="L229" s="38"/>
      <c r="M229" s="35"/>
      <c r="N229" s="35"/>
      <c r="O229" s="38"/>
      <c r="P229" s="35"/>
      <c r="Q229" s="35"/>
      <c r="R229" s="35"/>
      <c r="S229" s="35"/>
    </row>
    <row r="230" spans="6:19" x14ac:dyDescent="0.25">
      <c r="F230" s="40"/>
      <c r="G230" s="40"/>
      <c r="H230" s="36"/>
      <c r="I230" s="34"/>
      <c r="J230" s="37"/>
      <c r="K230" s="34"/>
      <c r="L230" s="35"/>
      <c r="M230" s="35"/>
      <c r="N230" s="35"/>
      <c r="O230" s="38"/>
      <c r="P230" s="35"/>
      <c r="Q230" s="35"/>
      <c r="R230" s="35"/>
      <c r="S230" s="35"/>
    </row>
    <row r="231" spans="6:19" x14ac:dyDescent="0.25">
      <c r="F231" s="40"/>
      <c r="G231" s="40"/>
      <c r="H231" s="36"/>
      <c r="I231" s="34"/>
      <c r="J231" s="37"/>
      <c r="K231" s="34"/>
      <c r="L231" s="35"/>
      <c r="M231" s="35"/>
      <c r="N231" s="35"/>
      <c r="O231" s="38"/>
      <c r="P231" s="35"/>
      <c r="Q231" s="35"/>
      <c r="R231" s="35"/>
      <c r="S231" s="35"/>
    </row>
    <row r="232" spans="6:19" x14ac:dyDescent="0.25">
      <c r="F232" s="40"/>
      <c r="G232" s="40"/>
      <c r="H232" s="36"/>
      <c r="I232" s="34"/>
      <c r="J232" s="37"/>
      <c r="K232" s="34"/>
      <c r="L232" s="35"/>
      <c r="M232" s="35"/>
      <c r="N232" s="35"/>
      <c r="O232" s="38"/>
      <c r="P232" s="35"/>
      <c r="Q232" s="35"/>
      <c r="R232" s="35"/>
      <c r="S232" s="35"/>
    </row>
    <row r="233" spans="6:19" x14ac:dyDescent="0.25">
      <c r="F233" s="40"/>
      <c r="G233" s="40"/>
      <c r="H233" s="36"/>
      <c r="I233" s="34"/>
      <c r="J233" s="37"/>
      <c r="K233" s="34"/>
      <c r="L233" s="35"/>
      <c r="M233" s="35"/>
      <c r="N233" s="35"/>
      <c r="O233" s="38"/>
      <c r="P233" s="35"/>
      <c r="Q233" s="35"/>
      <c r="R233" s="35"/>
      <c r="S233" s="35"/>
    </row>
    <row r="234" spans="6:19" x14ac:dyDescent="0.25">
      <c r="F234" s="40"/>
      <c r="G234" s="40"/>
      <c r="H234" s="36"/>
      <c r="I234" s="34"/>
      <c r="J234" s="37"/>
      <c r="K234" s="34"/>
      <c r="L234" s="35"/>
      <c r="M234" s="35"/>
      <c r="N234" s="35"/>
      <c r="O234" s="38"/>
      <c r="P234" s="35"/>
      <c r="Q234" s="35"/>
      <c r="R234" s="35"/>
      <c r="S234" s="35"/>
    </row>
    <row r="235" spans="6:19" x14ac:dyDescent="0.25">
      <c r="F235" s="40"/>
      <c r="G235" s="40"/>
      <c r="H235" s="36"/>
      <c r="I235" s="34"/>
      <c r="J235" s="37"/>
      <c r="K235" s="34"/>
      <c r="L235" s="35"/>
      <c r="M235" s="35"/>
      <c r="N235" s="35"/>
      <c r="O235" s="38"/>
      <c r="P235" s="35"/>
      <c r="Q235" s="35"/>
      <c r="R235" s="35"/>
      <c r="S235" s="35"/>
    </row>
    <row r="236" spans="6:19" x14ac:dyDescent="0.25">
      <c r="F236" s="40"/>
      <c r="G236" s="40"/>
      <c r="H236" s="36"/>
      <c r="I236" s="34"/>
      <c r="J236" s="37"/>
      <c r="K236" s="34"/>
      <c r="L236" s="35"/>
      <c r="M236" s="35"/>
      <c r="N236" s="35"/>
      <c r="O236" s="38"/>
      <c r="P236" s="35"/>
      <c r="Q236" s="35"/>
      <c r="R236" s="35"/>
      <c r="S236" s="35"/>
    </row>
    <row r="237" spans="6:19" x14ac:dyDescent="0.25">
      <c r="F237" s="40"/>
      <c r="G237" s="40"/>
      <c r="H237" s="36"/>
      <c r="I237" s="34"/>
      <c r="J237" s="37"/>
      <c r="K237" s="34"/>
      <c r="L237" s="35"/>
      <c r="M237" s="35"/>
      <c r="N237" s="35"/>
      <c r="O237" s="38"/>
      <c r="P237" s="35"/>
      <c r="Q237" s="35"/>
      <c r="R237" s="35"/>
      <c r="S237" s="35"/>
    </row>
    <row r="238" spans="6:19" x14ac:dyDescent="0.25">
      <c r="F238" s="40"/>
      <c r="G238" s="40"/>
      <c r="H238" s="36"/>
      <c r="I238" s="34"/>
      <c r="J238" s="37"/>
      <c r="K238" s="34"/>
      <c r="L238" s="35"/>
      <c r="M238" s="35"/>
      <c r="N238" s="35"/>
      <c r="O238" s="38"/>
      <c r="P238" s="35"/>
      <c r="Q238" s="35"/>
      <c r="R238" s="35"/>
      <c r="S238" s="35"/>
    </row>
    <row r="239" spans="6:19" x14ac:dyDescent="0.25">
      <c r="F239" s="40"/>
      <c r="G239" s="40"/>
      <c r="H239" s="36"/>
      <c r="I239" s="34"/>
      <c r="J239" s="37"/>
      <c r="K239" s="34"/>
      <c r="L239" s="35"/>
      <c r="M239" s="35"/>
      <c r="N239" s="35"/>
      <c r="O239" s="38"/>
      <c r="P239" s="35"/>
      <c r="Q239" s="35"/>
      <c r="R239" s="35"/>
      <c r="S239" s="35"/>
    </row>
    <row r="240" spans="6:19" x14ac:dyDescent="0.25">
      <c r="F240" s="40"/>
      <c r="G240" s="40"/>
      <c r="H240" s="36"/>
      <c r="I240" s="34"/>
      <c r="J240" s="37"/>
      <c r="K240" s="34"/>
      <c r="L240" s="35"/>
      <c r="M240" s="35"/>
      <c r="N240" s="35"/>
      <c r="O240" s="38"/>
      <c r="P240" s="35"/>
      <c r="Q240" s="35"/>
      <c r="R240" s="35"/>
      <c r="S240" s="35"/>
    </row>
    <row r="241" spans="6:19" x14ac:dyDescent="0.25">
      <c r="F241" s="40"/>
      <c r="G241" s="40"/>
      <c r="H241" s="36"/>
      <c r="I241" s="34"/>
      <c r="J241" s="37"/>
      <c r="K241" s="34"/>
      <c r="L241" s="35"/>
      <c r="M241" s="35"/>
      <c r="N241" s="35"/>
      <c r="O241" s="38"/>
      <c r="P241" s="35"/>
      <c r="Q241" s="35"/>
      <c r="R241" s="35"/>
      <c r="S241" s="35"/>
    </row>
  </sheetData>
  <mergeCells count="3">
    <mergeCell ref="H1:I1"/>
    <mergeCell ref="J1:K1"/>
    <mergeCell ref="F1:G1"/>
  </mergeCells>
  <phoneticPr fontId="11" type="noConversion"/>
  <pageMargins left="0.31496062992125984" right="0.11811023622047245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341"/>
  <sheetViews>
    <sheetView view="pageBreakPreview" topLeftCell="A190" zoomScaleNormal="60" zoomScaleSheetLayoutView="100" workbookViewId="0">
      <selection activeCell="G223" sqref="G223"/>
    </sheetView>
  </sheetViews>
  <sheetFormatPr defaultRowHeight="15" x14ac:dyDescent="0.25"/>
  <cols>
    <col min="1" max="1" width="4.625" style="243" customWidth="1"/>
    <col min="2" max="2" width="5" style="243" customWidth="1"/>
    <col min="3" max="3" width="41" style="243" customWidth="1"/>
    <col min="4" max="4" width="82" style="243" customWidth="1"/>
    <col min="5" max="5" width="4.75" style="243" customWidth="1"/>
    <col min="6" max="6" width="15.125" style="83" customWidth="1"/>
    <col min="7" max="7" width="10.25" style="243" customWidth="1"/>
    <col min="8" max="8" width="14.625" style="243" customWidth="1"/>
    <col min="9" max="16384" width="9" style="243"/>
  </cols>
  <sheetData>
    <row r="1" spans="1:8" ht="20.25" x14ac:dyDescent="0.25">
      <c r="B1" s="44"/>
      <c r="C1" s="44"/>
      <c r="E1" s="244"/>
      <c r="F1" s="244" t="s">
        <v>437</v>
      </c>
      <c r="G1" s="244"/>
      <c r="H1" s="244"/>
    </row>
    <row r="2" spans="1:8" ht="20.25" x14ac:dyDescent="0.25">
      <c r="B2" s="44"/>
      <c r="C2" s="44"/>
      <c r="E2" s="244"/>
      <c r="F2" s="244"/>
      <c r="G2" s="244"/>
      <c r="H2" s="244"/>
    </row>
    <row r="3" spans="1:8" ht="18.75" x14ac:dyDescent="0.3">
      <c r="B3" s="44"/>
      <c r="C3" s="44"/>
      <c r="D3" s="234" t="s">
        <v>436</v>
      </c>
      <c r="H3" s="84"/>
    </row>
    <row r="4" spans="1:8" x14ac:dyDescent="0.25">
      <c r="A4" s="46"/>
    </row>
    <row r="5" spans="1:8" ht="34.5" customHeight="1" x14ac:dyDescent="0.25">
      <c r="A5" s="262" t="s">
        <v>10</v>
      </c>
      <c r="B5" s="262" t="s">
        <v>0</v>
      </c>
      <c r="C5" s="262" t="s">
        <v>1</v>
      </c>
      <c r="D5" s="262" t="s">
        <v>2</v>
      </c>
      <c r="E5" s="262" t="s">
        <v>11</v>
      </c>
      <c r="F5" s="266" t="s">
        <v>17</v>
      </c>
      <c r="G5" s="262" t="s">
        <v>3</v>
      </c>
      <c r="H5" s="262" t="s">
        <v>4</v>
      </c>
    </row>
    <row r="6" spans="1:8" x14ac:dyDescent="0.25">
      <c r="A6" s="262"/>
      <c r="B6" s="262"/>
      <c r="C6" s="262"/>
      <c r="D6" s="262"/>
      <c r="E6" s="262"/>
      <c r="F6" s="267"/>
      <c r="G6" s="262"/>
      <c r="H6" s="262"/>
    </row>
    <row r="7" spans="1:8" ht="52.5" customHeight="1" x14ac:dyDescent="0.25">
      <c r="A7" s="263" t="s">
        <v>5</v>
      </c>
      <c r="B7" s="263"/>
      <c r="C7" s="263"/>
      <c r="D7" s="263"/>
      <c r="E7" s="263"/>
      <c r="F7" s="263"/>
      <c r="G7" s="263"/>
      <c r="H7" s="263"/>
    </row>
    <row r="8" spans="1:8" ht="13.7" customHeight="1" x14ac:dyDescent="0.25">
      <c r="A8" s="47"/>
      <c r="B8" s="47"/>
      <c r="C8" s="48" t="s">
        <v>19</v>
      </c>
      <c r="D8" s="47"/>
      <c r="E8" s="47"/>
      <c r="F8" s="66"/>
      <c r="G8" s="47"/>
      <c r="H8" s="47"/>
    </row>
    <row r="9" spans="1:8" ht="13.7" customHeight="1" x14ac:dyDescent="0.25">
      <c r="A9" s="49"/>
      <c r="B9" s="50"/>
      <c r="C9" s="175" t="s">
        <v>20</v>
      </c>
      <c r="D9" s="165"/>
      <c r="E9" s="50"/>
      <c r="F9" s="138"/>
      <c r="G9" s="50"/>
      <c r="H9" s="51"/>
    </row>
    <row r="10" spans="1:8" ht="57.75" customHeight="1" x14ac:dyDescent="0.25">
      <c r="A10" s="52"/>
      <c r="B10" s="52"/>
      <c r="C10" s="21" t="s">
        <v>6</v>
      </c>
      <c r="D10" s="123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10" s="233" t="s">
        <v>7</v>
      </c>
      <c r="F10" s="64">
        <f>'Оборудование и материалы'!D16</f>
        <v>10681.745762711864</v>
      </c>
      <c r="G10" s="245">
        <v>265</v>
      </c>
      <c r="H10" s="64">
        <f t="shared" ref="H10:H19" si="0">F10*G10</f>
        <v>2830662.6271186438</v>
      </c>
    </row>
    <row r="11" spans="1:8" ht="13.7" customHeight="1" x14ac:dyDescent="0.25">
      <c r="A11" s="52"/>
      <c r="B11" s="52"/>
      <c r="C11" s="21" t="s">
        <v>12</v>
      </c>
      <c r="D11" s="1" t="str">
        <f>'Оборудование и материалы'!$A$91</f>
        <v>Провод СИП4 2х16 мм2</v>
      </c>
      <c r="E11" s="233" t="s">
        <v>8</v>
      </c>
      <c r="F11" s="64">
        <f>'Оборудование и материалы'!$D$91</f>
        <v>38.964228813559323</v>
      </c>
      <c r="G11" s="31">
        <f>G10*25</f>
        <v>6625</v>
      </c>
      <c r="H11" s="64">
        <f t="shared" si="0"/>
        <v>258138.01588983051</v>
      </c>
    </row>
    <row r="12" spans="1:8" ht="13.7" customHeight="1" x14ac:dyDescent="0.25">
      <c r="A12" s="52"/>
      <c r="B12" s="52"/>
      <c r="C12" s="19" t="s">
        <v>158</v>
      </c>
      <c r="D12" s="10" t="str">
        <f>'Оборудование и материалы'!$A$109</f>
        <v>Влагозащищенный прокалывающий зажим SLIP 12.1</v>
      </c>
      <c r="E12" s="233" t="s">
        <v>7</v>
      </c>
      <c r="F12" s="64">
        <f>'Оборудование и материалы'!$D$109</f>
        <v>200.90724456279662</v>
      </c>
      <c r="G12" s="31">
        <f>G10*2</f>
        <v>530</v>
      </c>
      <c r="H12" s="64">
        <f t="shared" si="0"/>
        <v>106480.8396182822</v>
      </c>
    </row>
    <row r="13" spans="1:8" ht="13.7" customHeight="1" x14ac:dyDescent="0.25">
      <c r="A13" s="52"/>
      <c r="B13" s="52"/>
      <c r="C13" s="19" t="s">
        <v>158</v>
      </c>
      <c r="D13" s="10" t="str">
        <f>'Оборудование и материалы'!$A$110</f>
        <v>Влагозащищенный прокалывающий зажим SLIP 12.127</v>
      </c>
      <c r="E13" s="233" t="s">
        <v>7</v>
      </c>
      <c r="F13" s="64">
        <f>'Оборудование и материалы'!$D$110</f>
        <v>208.23728813559322</v>
      </c>
      <c r="G13" s="31">
        <f>G10*2</f>
        <v>530</v>
      </c>
      <c r="H13" s="64">
        <f t="shared" si="0"/>
        <v>110365.7627118644</v>
      </c>
    </row>
    <row r="14" spans="1:8" ht="13.7" customHeight="1" x14ac:dyDescent="0.25">
      <c r="A14" s="52"/>
      <c r="B14" s="52"/>
      <c r="C14" s="21" t="s">
        <v>13</v>
      </c>
      <c r="D14" s="129" t="str">
        <f>'Оборудование и материалы'!$A$111</f>
        <v>Анкерный зажим SO158.1</v>
      </c>
      <c r="E14" s="233" t="s">
        <v>7</v>
      </c>
      <c r="F14" s="64">
        <f>'Оборудование и материалы'!$D$111</f>
        <v>153.5593220338983</v>
      </c>
      <c r="G14" s="31">
        <f>G10*2</f>
        <v>530</v>
      </c>
      <c r="H14" s="64">
        <f t="shared" si="0"/>
        <v>81386.440677966093</v>
      </c>
    </row>
    <row r="15" spans="1:8" ht="13.7" customHeight="1" x14ac:dyDescent="0.25">
      <c r="A15" s="52"/>
      <c r="B15" s="52"/>
      <c r="C15" s="21" t="s">
        <v>115</v>
      </c>
      <c r="D15" s="129" t="str">
        <f>'Оборудование и материалы'!$A$112</f>
        <v>Анкерный кронштейн SO253</v>
      </c>
      <c r="E15" s="233" t="s">
        <v>7</v>
      </c>
      <c r="F15" s="64">
        <f>'Оборудование и материалы'!$D$112</f>
        <v>247.12711864406782</v>
      </c>
      <c r="G15" s="31">
        <f>G10*1</f>
        <v>265</v>
      </c>
      <c r="H15" s="64">
        <f t="shared" si="0"/>
        <v>65488.686440677971</v>
      </c>
    </row>
    <row r="16" spans="1:8" ht="13.7" customHeight="1" x14ac:dyDescent="0.25">
      <c r="A16" s="52"/>
      <c r="B16" s="52"/>
      <c r="C16" s="21" t="s">
        <v>14</v>
      </c>
      <c r="D16" s="129" t="str">
        <f>'Оборудование и материалы'!$A$113</f>
        <v>Крюк-болт  (Анкерный крюк) SOT16.12</v>
      </c>
      <c r="E16" s="233" t="s">
        <v>7</v>
      </c>
      <c r="F16" s="64">
        <f>'Оборудование и материалы'!$D$113</f>
        <v>96.788135593220332</v>
      </c>
      <c r="G16" s="31">
        <f>G10*1</f>
        <v>265</v>
      </c>
      <c r="H16" s="64">
        <f t="shared" si="0"/>
        <v>25648.855932203387</v>
      </c>
    </row>
    <row r="17" spans="1:8" ht="13.7" customHeight="1" x14ac:dyDescent="0.25">
      <c r="A17" s="52"/>
      <c r="B17" s="52"/>
      <c r="C17" s="21" t="s">
        <v>15</v>
      </c>
      <c r="D17" s="129" t="str">
        <f>'Оборудование и материалы'!$A$114</f>
        <v>Монтажная стальная лента из нержавеющей стали  COT37</v>
      </c>
      <c r="E17" s="233" t="s">
        <v>8</v>
      </c>
      <c r="F17" s="64">
        <f>'Оборудование и материалы'!$D$114</f>
        <v>75.271186440677965</v>
      </c>
      <c r="G17" s="31">
        <f>G10*2</f>
        <v>530</v>
      </c>
      <c r="H17" s="64">
        <f t="shared" si="0"/>
        <v>39893.728813559319</v>
      </c>
    </row>
    <row r="18" spans="1:8" ht="13.7" customHeight="1" x14ac:dyDescent="0.25">
      <c r="A18" s="52"/>
      <c r="B18" s="52"/>
      <c r="C18" s="21" t="s">
        <v>9</v>
      </c>
      <c r="D18" s="129" t="str">
        <f>'Оборудование и материалы'!$A$115</f>
        <v>Скрепа COT36</v>
      </c>
      <c r="E18" s="233" t="s">
        <v>7</v>
      </c>
      <c r="F18" s="64">
        <f>'Оборудование и материалы'!$D$115</f>
        <v>18.694915254237287</v>
      </c>
      <c r="G18" s="31">
        <f>G10*2</f>
        <v>530</v>
      </c>
      <c r="H18" s="64">
        <f t="shared" si="0"/>
        <v>9908.3050847457616</v>
      </c>
    </row>
    <row r="19" spans="1:8" ht="13.7" customHeight="1" x14ac:dyDescent="0.25">
      <c r="A19" s="59"/>
      <c r="B19" s="59"/>
      <c r="C19" s="8" t="s">
        <v>16</v>
      </c>
      <c r="D19" s="7" t="str">
        <f>'Оборудование и материалы'!$A$179</f>
        <v>Крепление кронштейна и кабеля анкерный болт, гайка, шайба, стяжка</v>
      </c>
      <c r="E19" s="24" t="s">
        <v>7</v>
      </c>
      <c r="F19" s="60">
        <f>'Оборудование и материалы'!$D$179</f>
        <v>508.47457627118649</v>
      </c>
      <c r="G19" s="24">
        <f>G10*1</f>
        <v>265</v>
      </c>
      <c r="H19" s="60">
        <f t="shared" si="0"/>
        <v>134745.76271186443</v>
      </c>
    </row>
    <row r="20" spans="1:8" ht="13.7" customHeight="1" x14ac:dyDescent="0.25">
      <c r="A20" s="59"/>
      <c r="B20" s="59"/>
      <c r="C20" s="8"/>
      <c r="D20" s="7"/>
      <c r="E20" s="24"/>
      <c r="F20" s="60"/>
      <c r="G20" s="24"/>
      <c r="H20" s="60"/>
    </row>
    <row r="21" spans="1:8" ht="13.7" customHeight="1" x14ac:dyDescent="0.25">
      <c r="A21" s="59"/>
      <c r="B21" s="59"/>
      <c r="C21" s="8"/>
      <c r="D21" s="14" t="s">
        <v>62</v>
      </c>
      <c r="E21" s="24"/>
      <c r="F21" s="60"/>
      <c r="G21" s="24"/>
      <c r="H21" s="60">
        <f>H10</f>
        <v>2830662.6271186438</v>
      </c>
    </row>
    <row r="22" spans="1:8" ht="13.7" customHeight="1" x14ac:dyDescent="0.25">
      <c r="A22" s="59"/>
      <c r="B22" s="59"/>
      <c r="C22" s="8"/>
      <c r="D22" s="117" t="s">
        <v>107</v>
      </c>
      <c r="E22" s="24"/>
      <c r="F22" s="60"/>
      <c r="G22" s="24"/>
      <c r="H22" s="60">
        <f>SUM(H11:H19)</f>
        <v>832056.39788099402</v>
      </c>
    </row>
    <row r="23" spans="1:8" ht="13.7" customHeight="1" x14ac:dyDescent="0.25">
      <c r="A23" s="59"/>
      <c r="B23" s="59"/>
      <c r="C23" s="8"/>
      <c r="D23" s="15" t="s">
        <v>131</v>
      </c>
      <c r="E23" s="24"/>
      <c r="F23" s="60"/>
      <c r="G23" s="131">
        <f>G10</f>
        <v>265</v>
      </c>
      <c r="H23" s="132">
        <f>F23*G23</f>
        <v>0</v>
      </c>
    </row>
    <row r="24" spans="1:8" ht="13.7" customHeight="1" x14ac:dyDescent="0.25">
      <c r="A24" s="54"/>
      <c r="B24" s="54"/>
      <c r="C24" s="93" t="s">
        <v>120</v>
      </c>
      <c r="D24" s="55"/>
      <c r="E24" s="54"/>
      <c r="F24" s="56"/>
      <c r="G24" s="54"/>
      <c r="H24" s="57"/>
    </row>
    <row r="25" spans="1:8" ht="60" customHeight="1" x14ac:dyDescent="0.25">
      <c r="A25" s="52"/>
      <c r="B25" s="52"/>
      <c r="C25" s="21" t="s">
        <v>6</v>
      </c>
      <c r="D25" s="4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25" s="233" t="s">
        <v>7</v>
      </c>
      <c r="F25" s="64">
        <f>'Оборудование и материалы'!$D$16</f>
        <v>10681.745762711864</v>
      </c>
      <c r="G25" s="31">
        <v>70</v>
      </c>
      <c r="H25" s="64">
        <f>G25*F25</f>
        <v>747722.20338983042</v>
      </c>
    </row>
    <row r="26" spans="1:8" ht="13.7" customHeight="1" x14ac:dyDescent="0.25">
      <c r="A26" s="52"/>
      <c r="B26" s="52"/>
      <c r="C26" s="21" t="s">
        <v>12</v>
      </c>
      <c r="D26" s="11" t="str">
        <f>'Оборудование и материалы'!$A$91</f>
        <v>Провод СИП4 2х16 мм2</v>
      </c>
      <c r="E26" s="233" t="s">
        <v>8</v>
      </c>
      <c r="F26" s="64">
        <f>'Оборудование и материалы'!$D$91</f>
        <v>38.964228813559323</v>
      </c>
      <c r="G26" s="31">
        <f>G25*25</f>
        <v>1750</v>
      </c>
      <c r="H26" s="64">
        <f t="shared" ref="H26:H35" si="1">G26*F26</f>
        <v>68187.400423728817</v>
      </c>
    </row>
    <row r="27" spans="1:8" ht="13.7" customHeight="1" x14ac:dyDescent="0.25">
      <c r="A27" s="52"/>
      <c r="B27" s="52"/>
      <c r="C27" s="21" t="s">
        <v>69</v>
      </c>
      <c r="D27" s="11" t="str">
        <f>'Оборудование и материалы'!$A$93</f>
        <v xml:space="preserve">Кабель АВВГнг LS 2х16 мм2 </v>
      </c>
      <c r="E27" s="233" t="s">
        <v>8</v>
      </c>
      <c r="F27" s="64">
        <f>'Оборудование и материалы'!$D$93</f>
        <v>57.152542372881356</v>
      </c>
      <c r="G27" s="31">
        <f>G25*6</f>
        <v>420</v>
      </c>
      <c r="H27" s="64">
        <f t="shared" si="1"/>
        <v>24004.067796610168</v>
      </c>
    </row>
    <row r="28" spans="1:8" ht="13.7" customHeight="1" x14ac:dyDescent="0.25">
      <c r="A28" s="52"/>
      <c r="B28" s="52"/>
      <c r="C28" s="21" t="s">
        <v>158</v>
      </c>
      <c r="D28" s="10" t="str">
        <f>'Оборудование и материалы'!$A$109</f>
        <v>Влагозащищенный прокалывающий зажим SLIP 12.1</v>
      </c>
      <c r="E28" s="233" t="s">
        <v>7</v>
      </c>
      <c r="F28" s="64">
        <f>'Оборудование и материалы'!$D$109</f>
        <v>200.90724456279662</v>
      </c>
      <c r="G28" s="31">
        <f>G25*2</f>
        <v>140</v>
      </c>
      <c r="H28" s="64">
        <f t="shared" si="1"/>
        <v>28127.014238791526</v>
      </c>
    </row>
    <row r="29" spans="1:8" ht="13.7" customHeight="1" x14ac:dyDescent="0.25">
      <c r="A29" s="52"/>
      <c r="B29" s="52"/>
      <c r="C29" s="21" t="s">
        <v>158</v>
      </c>
      <c r="D29" s="10" t="str">
        <f>'Оборудование и материалы'!$A$110</f>
        <v>Влагозащищенный прокалывающий зажим SLIP 12.127</v>
      </c>
      <c r="E29" s="233" t="s">
        <v>7</v>
      </c>
      <c r="F29" s="64">
        <f>'Оборудование и материалы'!$D$110</f>
        <v>208.23728813559322</v>
      </c>
      <c r="G29" s="31">
        <f>G25*2</f>
        <v>140</v>
      </c>
      <c r="H29" s="64">
        <f t="shared" si="1"/>
        <v>29153.22033898305</v>
      </c>
    </row>
    <row r="30" spans="1:8" ht="13.7" customHeight="1" x14ac:dyDescent="0.25">
      <c r="A30" s="52"/>
      <c r="B30" s="52"/>
      <c r="C30" s="21" t="s">
        <v>13</v>
      </c>
      <c r="D30" s="129" t="str">
        <f>'Оборудование и материалы'!$A$111</f>
        <v>Анкерный зажим SO158.1</v>
      </c>
      <c r="E30" s="233" t="s">
        <v>7</v>
      </c>
      <c r="F30" s="64">
        <f>'Оборудование и материалы'!$D$111</f>
        <v>153.5593220338983</v>
      </c>
      <c r="G30" s="31">
        <f>G25*2</f>
        <v>140</v>
      </c>
      <c r="H30" s="64">
        <f t="shared" si="1"/>
        <v>21498.305084745763</v>
      </c>
    </row>
    <row r="31" spans="1:8" ht="13.7" customHeight="1" x14ac:dyDescent="0.25">
      <c r="A31" s="52"/>
      <c r="B31" s="52"/>
      <c r="C31" s="21" t="s">
        <v>115</v>
      </c>
      <c r="D31" s="129" t="str">
        <f>'Оборудование и материалы'!$A$112</f>
        <v>Анкерный кронштейн SO253</v>
      </c>
      <c r="E31" s="233" t="s">
        <v>7</v>
      </c>
      <c r="F31" s="64">
        <f>'Оборудование и материалы'!$D$112</f>
        <v>247.12711864406782</v>
      </c>
      <c r="G31" s="31">
        <f>G25*1</f>
        <v>70</v>
      </c>
      <c r="H31" s="64">
        <f t="shared" si="1"/>
        <v>17298.898305084749</v>
      </c>
    </row>
    <row r="32" spans="1:8" ht="13.7" customHeight="1" x14ac:dyDescent="0.25">
      <c r="A32" s="52"/>
      <c r="B32" s="52"/>
      <c r="C32" s="21" t="s">
        <v>14</v>
      </c>
      <c r="D32" s="129" t="str">
        <f>'Оборудование и материалы'!$A$113</f>
        <v>Крюк-болт  (Анкерный крюк) SOT16.12</v>
      </c>
      <c r="E32" s="233" t="s">
        <v>7</v>
      </c>
      <c r="F32" s="64">
        <f>'Оборудование и материалы'!$D$113</f>
        <v>96.788135593220332</v>
      </c>
      <c r="G32" s="31">
        <f>G25*1</f>
        <v>70</v>
      </c>
      <c r="H32" s="64">
        <f t="shared" si="1"/>
        <v>6775.1694915254229</v>
      </c>
    </row>
    <row r="33" spans="1:8" ht="13.7" customHeight="1" x14ac:dyDescent="0.25">
      <c r="A33" s="52"/>
      <c r="B33" s="52"/>
      <c r="C33" s="21" t="s">
        <v>15</v>
      </c>
      <c r="D33" s="129" t="str">
        <f>'Оборудование и материалы'!$A$114</f>
        <v>Монтажная стальная лента из нержавеющей стали  COT37</v>
      </c>
      <c r="E33" s="233" t="s">
        <v>8</v>
      </c>
      <c r="F33" s="64">
        <f>'Оборудование и материалы'!$D$114</f>
        <v>75.271186440677965</v>
      </c>
      <c r="G33" s="31">
        <f>G25*2</f>
        <v>140</v>
      </c>
      <c r="H33" s="64">
        <f t="shared" si="1"/>
        <v>10537.966101694916</v>
      </c>
    </row>
    <row r="34" spans="1:8" ht="13.7" customHeight="1" x14ac:dyDescent="0.25">
      <c r="A34" s="52"/>
      <c r="B34" s="52"/>
      <c r="C34" s="21" t="s">
        <v>9</v>
      </c>
      <c r="D34" s="129" t="str">
        <f>'Оборудование и материалы'!$A$115</f>
        <v>Скрепа COT36</v>
      </c>
      <c r="E34" s="233" t="s">
        <v>7</v>
      </c>
      <c r="F34" s="64">
        <f>'Оборудование и материалы'!$D$115</f>
        <v>18.694915254237287</v>
      </c>
      <c r="G34" s="31">
        <f>G25*2</f>
        <v>140</v>
      </c>
      <c r="H34" s="64">
        <f t="shared" si="1"/>
        <v>2617.2881355932204</v>
      </c>
    </row>
    <row r="35" spans="1:8" ht="13.7" customHeight="1" x14ac:dyDescent="0.25">
      <c r="A35" s="59"/>
      <c r="B35" s="59"/>
      <c r="C35" s="8" t="s">
        <v>16</v>
      </c>
      <c r="D35" s="7" t="str">
        <f>'Оборудование и материалы'!$A$179</f>
        <v>Крепление кронштейна и кабеля анкерный болт, гайка, шайба, стяжка</v>
      </c>
      <c r="E35" s="24" t="s">
        <v>7</v>
      </c>
      <c r="F35" s="60">
        <f>'Оборудование и материалы'!$D$179</f>
        <v>508.47457627118649</v>
      </c>
      <c r="G35" s="24">
        <f>G25*1</f>
        <v>70</v>
      </c>
      <c r="H35" s="60">
        <f t="shared" si="1"/>
        <v>35593.220338983054</v>
      </c>
    </row>
    <row r="36" spans="1:8" ht="13.7" customHeight="1" x14ac:dyDescent="0.25">
      <c r="A36" s="59"/>
      <c r="B36" s="59"/>
      <c r="C36" s="8"/>
      <c r="D36" s="7"/>
      <c r="E36" s="24"/>
      <c r="F36" s="60"/>
      <c r="G36" s="24"/>
      <c r="H36" s="60"/>
    </row>
    <row r="37" spans="1:8" ht="13.7" customHeight="1" x14ac:dyDescent="0.25">
      <c r="A37" s="59"/>
      <c r="B37" s="59"/>
      <c r="C37" s="8"/>
      <c r="D37" s="14" t="s">
        <v>62</v>
      </c>
      <c r="E37" s="24"/>
      <c r="F37" s="60"/>
      <c r="G37" s="24"/>
      <c r="H37" s="60">
        <f>H25</f>
        <v>747722.20338983042</v>
      </c>
    </row>
    <row r="38" spans="1:8" ht="13.7" customHeight="1" x14ac:dyDescent="0.25">
      <c r="A38" s="59"/>
      <c r="B38" s="59"/>
      <c r="C38" s="8"/>
      <c r="D38" s="117" t="s">
        <v>107</v>
      </c>
      <c r="E38" s="24"/>
      <c r="F38" s="60"/>
      <c r="G38" s="24"/>
      <c r="H38" s="60">
        <f>SUM(H26:H35)</f>
        <v>243792.5502557407</v>
      </c>
    </row>
    <row r="39" spans="1:8" ht="13.7" customHeight="1" x14ac:dyDescent="0.25">
      <c r="A39" s="59"/>
      <c r="B39" s="59"/>
      <c r="C39" s="8"/>
      <c r="D39" s="15" t="s">
        <v>131</v>
      </c>
      <c r="E39" s="24"/>
      <c r="F39" s="60"/>
      <c r="G39" s="131">
        <f>G25</f>
        <v>70</v>
      </c>
      <c r="H39" s="132">
        <f>G39*F39</f>
        <v>0</v>
      </c>
    </row>
    <row r="40" spans="1:8" ht="13.7" hidden="1" customHeight="1" x14ac:dyDescent="0.25">
      <c r="A40" s="89"/>
      <c r="B40" s="89"/>
      <c r="C40" s="155" t="s">
        <v>196</v>
      </c>
      <c r="D40" s="163" t="s">
        <v>195</v>
      </c>
      <c r="E40" s="91"/>
      <c r="F40" s="92"/>
      <c r="G40" s="128"/>
      <c r="H40" s="133"/>
    </row>
    <row r="41" spans="1:8" s="241" customFormat="1" ht="60" hidden="1" customHeight="1" x14ac:dyDescent="0.25">
      <c r="A41" s="59"/>
      <c r="B41" s="59"/>
      <c r="C41" s="8" t="s">
        <v>6</v>
      </c>
      <c r="D41" s="171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41" s="24" t="s">
        <v>7</v>
      </c>
      <c r="F41" s="60">
        <f>'Оборудование и материалы'!$D$16</f>
        <v>10681.745762711864</v>
      </c>
      <c r="G41" s="24"/>
      <c r="H41" s="60">
        <f>F41*G41</f>
        <v>0</v>
      </c>
    </row>
    <row r="42" spans="1:8" s="241" customFormat="1" ht="13.7" hidden="1" customHeight="1" x14ac:dyDescent="0.25">
      <c r="A42" s="59"/>
      <c r="B42" s="59"/>
      <c r="C42" s="8" t="s">
        <v>12</v>
      </c>
      <c r="D42" s="171" t="str">
        <f>'Оборудование и материалы'!$A$91</f>
        <v>Провод СИП4 2х16 мм2</v>
      </c>
      <c r="E42" s="24" t="s">
        <v>8</v>
      </c>
      <c r="F42" s="60">
        <f>'Оборудование и материалы'!$D$91</f>
        <v>38.964228813559323</v>
      </c>
      <c r="G42" s="24">
        <f>G41*4</f>
        <v>0</v>
      </c>
      <c r="H42" s="60">
        <f>F42*G42</f>
        <v>0</v>
      </c>
    </row>
    <row r="43" spans="1:8" s="241" customFormat="1" ht="13.7" hidden="1" customHeight="1" x14ac:dyDescent="0.25">
      <c r="A43" s="59"/>
      <c r="B43" s="59"/>
      <c r="C43" s="8" t="s">
        <v>158</v>
      </c>
      <c r="D43" s="171" t="str">
        <f>'Оборудование и материалы'!$A$109</f>
        <v>Влагозащищенный прокалывающий зажим SLIP 12.1</v>
      </c>
      <c r="E43" s="24" t="s">
        <v>7</v>
      </c>
      <c r="F43" s="60">
        <f>'Оборудование и материалы'!$D$109</f>
        <v>200.90724456279662</v>
      </c>
      <c r="G43" s="24">
        <f>G41*2</f>
        <v>0</v>
      </c>
      <c r="H43" s="60">
        <f>F43*G43</f>
        <v>0</v>
      </c>
    </row>
    <row r="44" spans="1:8" s="241" customFormat="1" ht="13.7" hidden="1" customHeight="1" x14ac:dyDescent="0.25">
      <c r="A44" s="59"/>
      <c r="B44" s="59"/>
      <c r="C44" s="8"/>
      <c r="D44" s="171"/>
      <c r="E44" s="24"/>
      <c r="F44" s="60"/>
      <c r="G44" s="131"/>
      <c r="H44" s="132"/>
    </row>
    <row r="45" spans="1:8" s="241" customFormat="1" ht="13.7" hidden="1" customHeight="1" x14ac:dyDescent="0.25">
      <c r="A45" s="59"/>
      <c r="B45" s="59"/>
      <c r="C45" s="8"/>
      <c r="D45" s="172" t="s">
        <v>62</v>
      </c>
      <c r="E45" s="24"/>
      <c r="F45" s="60"/>
      <c r="G45" s="131"/>
      <c r="H45" s="60">
        <f>H41</f>
        <v>0</v>
      </c>
    </row>
    <row r="46" spans="1:8" s="241" customFormat="1" ht="13.7" hidden="1" customHeight="1" x14ac:dyDescent="0.25">
      <c r="A46" s="59"/>
      <c r="B46" s="59"/>
      <c r="C46" s="8"/>
      <c r="D46" s="172" t="s">
        <v>107</v>
      </c>
      <c r="E46" s="24"/>
      <c r="F46" s="60"/>
      <c r="G46" s="131"/>
      <c r="H46" s="60">
        <f>H42+H43</f>
        <v>0</v>
      </c>
    </row>
    <row r="47" spans="1:8" s="241" customFormat="1" ht="13.7" hidden="1" customHeight="1" x14ac:dyDescent="0.25">
      <c r="A47" s="59"/>
      <c r="B47" s="59"/>
      <c r="C47" s="8"/>
      <c r="D47" s="172" t="s">
        <v>131</v>
      </c>
      <c r="E47" s="24"/>
      <c r="F47" s="60"/>
      <c r="G47" s="131">
        <f>G40</f>
        <v>0</v>
      </c>
      <c r="H47" s="132">
        <f>G47*F47</f>
        <v>0</v>
      </c>
    </row>
    <row r="48" spans="1:8" ht="13.7" hidden="1" customHeight="1" x14ac:dyDescent="0.25">
      <c r="A48" s="89"/>
      <c r="B48" s="89"/>
      <c r="C48" s="175" t="s">
        <v>197</v>
      </c>
      <c r="D48" s="173" t="s">
        <v>198</v>
      </c>
      <c r="E48" s="91"/>
      <c r="F48" s="92"/>
      <c r="G48" s="128"/>
      <c r="H48" s="133"/>
    </row>
    <row r="49" spans="1:8" ht="51.95" hidden="1" customHeight="1" x14ac:dyDescent="0.25">
      <c r="A49" s="59"/>
      <c r="B49" s="59"/>
      <c r="C49" s="8" t="s">
        <v>6</v>
      </c>
      <c r="D49" s="19" t="str">
        <f>'Оборудование и материалы'!$A$59</f>
        <v>Однофазный прибор учета (8-тарифов, класс.точности (А/Р)- 1,0/2,0,  Uном -220(230) Iном (макс) 5-(80)А, встроенный приемо-передатчик RF, PLC, функция ретранслятора и радиомоста, RS-485, оптопорт, 3-дискретных выхода, 2-канала измерения,  устройством коммутации нагрузки, -40…+70 °С) или аналог.</v>
      </c>
      <c r="E49" s="24" t="s">
        <v>7</v>
      </c>
      <c r="F49" s="60">
        <f>'Оборудование и материалы'!$D$15</f>
        <v>3813.5593220338983</v>
      </c>
      <c r="G49" s="131"/>
      <c r="H49" s="60">
        <f>G49*F49</f>
        <v>0</v>
      </c>
    </row>
    <row r="50" spans="1:8" ht="13.7" hidden="1" customHeight="1" x14ac:dyDescent="0.25">
      <c r="A50" s="59"/>
      <c r="B50" s="59"/>
      <c r="C50" s="8" t="s">
        <v>69</v>
      </c>
      <c r="D50" s="19" t="s">
        <v>154</v>
      </c>
      <c r="E50" s="24" t="s">
        <v>8</v>
      </c>
      <c r="F50" s="60">
        <v>49.23</v>
      </c>
      <c r="G50" s="24">
        <f>G49*6</f>
        <v>0</v>
      </c>
      <c r="H50" s="60">
        <f>G50*F50</f>
        <v>0</v>
      </c>
    </row>
    <row r="51" spans="1:8" ht="13.7" hidden="1" customHeight="1" x14ac:dyDescent="0.25">
      <c r="A51" s="59"/>
      <c r="B51" s="59"/>
      <c r="C51" s="8" t="s">
        <v>159</v>
      </c>
      <c r="D51" s="19" t="str">
        <f>'Оборудование и материалы'!$A$179</f>
        <v>Крепление кронштейна и кабеля анкерный болт, гайка, шайба, стяжка</v>
      </c>
      <c r="E51" s="24" t="s">
        <v>7</v>
      </c>
      <c r="F51" s="60">
        <f>'Оборудование и материалы'!$D$179</f>
        <v>508.47457627118649</v>
      </c>
      <c r="G51" s="24">
        <f>G49*1</f>
        <v>0</v>
      </c>
      <c r="H51" s="60">
        <f>G51*F51</f>
        <v>0</v>
      </c>
    </row>
    <row r="52" spans="1:8" ht="13.7" hidden="1" customHeight="1" x14ac:dyDescent="0.25">
      <c r="A52" s="59"/>
      <c r="B52" s="59"/>
      <c r="C52" s="8"/>
      <c r="D52" s="15"/>
      <c r="E52" s="24"/>
      <c r="F52" s="60"/>
      <c r="G52" s="131"/>
      <c r="H52" s="132"/>
    </row>
    <row r="53" spans="1:8" ht="13.7" hidden="1" customHeight="1" x14ac:dyDescent="0.25">
      <c r="A53" s="59"/>
      <c r="B53" s="59"/>
      <c r="C53" s="8"/>
      <c r="D53" s="15" t="s">
        <v>62</v>
      </c>
      <c r="E53" s="24"/>
      <c r="F53" s="60"/>
      <c r="G53" s="131"/>
      <c r="H53" s="60">
        <f>H49</f>
        <v>0</v>
      </c>
    </row>
    <row r="54" spans="1:8" ht="13.7" hidden="1" customHeight="1" x14ac:dyDescent="0.25">
      <c r="A54" s="59"/>
      <c r="B54" s="59"/>
      <c r="C54" s="8"/>
      <c r="D54" s="15" t="s">
        <v>107</v>
      </c>
      <c r="E54" s="24"/>
      <c r="F54" s="60"/>
      <c r="G54" s="131"/>
      <c r="H54" s="60">
        <f>H50+H51</f>
        <v>0</v>
      </c>
    </row>
    <row r="55" spans="1:8" ht="13.7" hidden="1" customHeight="1" x14ac:dyDescent="0.25">
      <c r="A55" s="59"/>
      <c r="B55" s="59"/>
      <c r="C55" s="8"/>
      <c r="D55" s="15" t="s">
        <v>131</v>
      </c>
      <c r="E55" s="24"/>
      <c r="F55" s="60"/>
      <c r="G55" s="131">
        <f>G49</f>
        <v>0</v>
      </c>
      <c r="H55" s="132">
        <f>G55*F55</f>
        <v>0</v>
      </c>
    </row>
    <row r="56" spans="1:8" ht="13.7" customHeight="1" x14ac:dyDescent="0.25">
      <c r="A56" s="54"/>
      <c r="B56" s="54"/>
      <c r="C56" s="175" t="s">
        <v>179</v>
      </c>
      <c r="D56" s="61"/>
      <c r="E56" s="62"/>
      <c r="F56" s="63"/>
      <c r="G56" s="62"/>
      <c r="H56" s="63"/>
    </row>
    <row r="57" spans="1:8" ht="62.1" customHeight="1" x14ac:dyDescent="0.25">
      <c r="A57" s="52"/>
      <c r="B57" s="58"/>
      <c r="C57" s="1" t="s">
        <v>21</v>
      </c>
      <c r="D57" s="183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57" s="31" t="s">
        <v>7</v>
      </c>
      <c r="F57" s="64">
        <f>'Оборудование и материалы'!$D$17</f>
        <v>18389.830508474577</v>
      </c>
      <c r="G57" s="31">
        <v>101</v>
      </c>
      <c r="H57" s="64">
        <f t="shared" ref="H57:H66" si="2">F57*G57</f>
        <v>1857372.8813559322</v>
      </c>
    </row>
    <row r="58" spans="1:8" ht="13.7" customHeight="1" x14ac:dyDescent="0.25">
      <c r="A58" s="52"/>
      <c r="B58" s="52"/>
      <c r="C58" s="3" t="s">
        <v>22</v>
      </c>
      <c r="D58" s="1" t="str">
        <f>'Оборудование и материалы'!$A$92</f>
        <v>Провод СИП4 4х25 мм2</v>
      </c>
      <c r="E58" s="233" t="s">
        <v>8</v>
      </c>
      <c r="F58" s="64">
        <f>'Оборудование и материалы'!$D$92</f>
        <v>112.3198220338983</v>
      </c>
      <c r="G58" s="31">
        <f>G57*25</f>
        <v>2525</v>
      </c>
      <c r="H58" s="64">
        <f t="shared" si="2"/>
        <v>283607.55063559324</v>
      </c>
    </row>
    <row r="59" spans="1:8" ht="13.7" customHeight="1" x14ac:dyDescent="0.25">
      <c r="A59" s="52"/>
      <c r="B59" s="52"/>
      <c r="C59" s="21" t="s">
        <v>158</v>
      </c>
      <c r="D59" s="10" t="str">
        <f>'Оборудование и материалы'!$A$109</f>
        <v>Влагозащищенный прокалывающий зажим SLIP 12.1</v>
      </c>
      <c r="E59" s="233" t="s">
        <v>7</v>
      </c>
      <c r="F59" s="64">
        <f>'Оборудование и материалы'!$D$109</f>
        <v>200.90724456279662</v>
      </c>
      <c r="G59" s="31">
        <f>G57*4</f>
        <v>404</v>
      </c>
      <c r="H59" s="64">
        <f t="shared" si="2"/>
        <v>81166.526803369838</v>
      </c>
    </row>
    <row r="60" spans="1:8" ht="13.7" customHeight="1" x14ac:dyDescent="0.25">
      <c r="A60" s="52"/>
      <c r="B60" s="52"/>
      <c r="C60" s="21" t="s">
        <v>158</v>
      </c>
      <c r="D60" s="10" t="str">
        <f>'Оборудование и материалы'!A110</f>
        <v>Влагозащищенный прокалывающий зажим SLIP 12.127</v>
      </c>
      <c r="E60" s="233" t="s">
        <v>7</v>
      </c>
      <c r="F60" s="64">
        <f>'Оборудование и материалы'!D110</f>
        <v>208.23728813559322</v>
      </c>
      <c r="G60" s="31">
        <f>G57*4</f>
        <v>404</v>
      </c>
      <c r="H60" s="64">
        <f t="shared" si="2"/>
        <v>84127.864406779656</v>
      </c>
    </row>
    <row r="61" spans="1:8" ht="13.7" customHeight="1" x14ac:dyDescent="0.25">
      <c r="A61" s="52"/>
      <c r="B61" s="52"/>
      <c r="C61" s="2" t="s">
        <v>13</v>
      </c>
      <c r="D61" s="129" t="str">
        <f>'Оборудование и материалы'!$A$111</f>
        <v>Анкерный зажим SO158.1</v>
      </c>
      <c r="E61" s="233" t="s">
        <v>7</v>
      </c>
      <c r="F61" s="64">
        <f>'Оборудование и материалы'!$D$111</f>
        <v>153.5593220338983</v>
      </c>
      <c r="G61" s="31">
        <f>G57*2</f>
        <v>202</v>
      </c>
      <c r="H61" s="64">
        <f t="shared" si="2"/>
        <v>31018.983050847455</v>
      </c>
    </row>
    <row r="62" spans="1:8" ht="13.7" customHeight="1" x14ac:dyDescent="0.25">
      <c r="A62" s="52"/>
      <c r="B62" s="52"/>
      <c r="C62" s="21" t="s">
        <v>115</v>
      </c>
      <c r="D62" s="129" t="str">
        <f>'Оборудование и материалы'!$A$112</f>
        <v>Анкерный кронштейн SO253</v>
      </c>
      <c r="E62" s="233" t="s">
        <v>7</v>
      </c>
      <c r="F62" s="64">
        <f>'Оборудование и материалы'!$D$112</f>
        <v>247.12711864406782</v>
      </c>
      <c r="G62" s="31">
        <f>G57*1</f>
        <v>101</v>
      </c>
      <c r="H62" s="64">
        <f t="shared" si="2"/>
        <v>24959.838983050849</v>
      </c>
    </row>
    <row r="63" spans="1:8" ht="13.7" customHeight="1" x14ac:dyDescent="0.25">
      <c r="A63" s="52"/>
      <c r="B63" s="52"/>
      <c r="C63" s="4" t="s">
        <v>14</v>
      </c>
      <c r="D63" s="129" t="str">
        <f>'Оборудование и материалы'!$A$113</f>
        <v>Крюк-болт  (Анкерный крюк) SOT16.12</v>
      </c>
      <c r="E63" s="233" t="s">
        <v>7</v>
      </c>
      <c r="F63" s="64">
        <f>'Оборудование и материалы'!$D$113</f>
        <v>96.788135593220332</v>
      </c>
      <c r="G63" s="31">
        <f>G57*1</f>
        <v>101</v>
      </c>
      <c r="H63" s="64">
        <f t="shared" si="2"/>
        <v>9775.6016949152527</v>
      </c>
    </row>
    <row r="64" spans="1:8" ht="13.7" customHeight="1" x14ac:dyDescent="0.25">
      <c r="A64" s="52"/>
      <c r="B64" s="52"/>
      <c r="C64" s="2" t="s">
        <v>15</v>
      </c>
      <c r="D64" s="129" t="str">
        <f>'Оборудование и материалы'!$A$114</f>
        <v>Монтажная стальная лента из нержавеющей стали  COT37</v>
      </c>
      <c r="E64" s="31" t="s">
        <v>8</v>
      </c>
      <c r="F64" s="64">
        <f>'Оборудование и материалы'!$D$114</f>
        <v>75.271186440677965</v>
      </c>
      <c r="G64" s="31">
        <f>G57*4</f>
        <v>404</v>
      </c>
      <c r="H64" s="64">
        <f t="shared" si="2"/>
        <v>30409.5593220339</v>
      </c>
    </row>
    <row r="65" spans="1:8" ht="13.7" customHeight="1" x14ac:dyDescent="0.25">
      <c r="A65" s="52"/>
      <c r="B65" s="52"/>
      <c r="C65" s="2" t="s">
        <v>9</v>
      </c>
      <c r="D65" s="129" t="str">
        <f>'Оборудование и материалы'!$A$115</f>
        <v>Скрепа COT36</v>
      </c>
      <c r="E65" s="31" t="s">
        <v>7</v>
      </c>
      <c r="F65" s="64">
        <f>'Оборудование и материалы'!$D$115</f>
        <v>18.694915254237287</v>
      </c>
      <c r="G65" s="31">
        <f>G57*4</f>
        <v>404</v>
      </c>
      <c r="H65" s="64">
        <f t="shared" si="2"/>
        <v>7552.7457627118638</v>
      </c>
    </row>
    <row r="66" spans="1:8" ht="13.7" customHeight="1" x14ac:dyDescent="0.25">
      <c r="A66" s="59"/>
      <c r="B66" s="59"/>
      <c r="C66" s="2" t="s">
        <v>16</v>
      </c>
      <c r="D66" s="13" t="str">
        <f>'Оборудование и материалы'!$A$179</f>
        <v>Крепление кронштейна и кабеля анкерный болт, гайка, шайба, стяжка</v>
      </c>
      <c r="E66" s="24" t="s">
        <v>7</v>
      </c>
      <c r="F66" s="60">
        <f>'Оборудование и материалы'!$D$179</f>
        <v>508.47457627118649</v>
      </c>
      <c r="G66" s="24">
        <f>G57*1</f>
        <v>101</v>
      </c>
      <c r="H66" s="60">
        <f t="shared" si="2"/>
        <v>51355.932203389835</v>
      </c>
    </row>
    <row r="67" spans="1:8" ht="13.7" customHeight="1" x14ac:dyDescent="0.25">
      <c r="A67" s="59"/>
      <c r="B67" s="59"/>
      <c r="C67" s="2"/>
      <c r="D67" s="13"/>
      <c r="E67" s="24"/>
      <c r="F67" s="60"/>
      <c r="G67" s="24"/>
      <c r="H67" s="60"/>
    </row>
    <row r="68" spans="1:8" ht="13.7" customHeight="1" x14ac:dyDescent="0.25">
      <c r="A68" s="59"/>
      <c r="B68" s="59"/>
      <c r="C68" s="2"/>
      <c r="D68" s="14" t="s">
        <v>62</v>
      </c>
      <c r="E68" s="24"/>
      <c r="F68" s="60"/>
      <c r="G68" s="24"/>
      <c r="H68" s="60">
        <f>SUM(H57:H57)</f>
        <v>1857372.8813559322</v>
      </c>
    </row>
    <row r="69" spans="1:8" ht="13.7" customHeight="1" x14ac:dyDescent="0.25">
      <c r="A69" s="59"/>
      <c r="B69" s="59"/>
      <c r="C69" s="2"/>
      <c r="D69" s="117" t="s">
        <v>107</v>
      </c>
      <c r="E69" s="24"/>
      <c r="F69" s="60"/>
      <c r="G69" s="24"/>
      <c r="H69" s="60">
        <f>SUM(H58:H66)</f>
        <v>603974.60286269186</v>
      </c>
    </row>
    <row r="70" spans="1:8" ht="13.7" customHeight="1" x14ac:dyDescent="0.25">
      <c r="A70" s="59"/>
      <c r="B70" s="59"/>
      <c r="C70" s="2"/>
      <c r="D70" s="15" t="s">
        <v>131</v>
      </c>
      <c r="E70" s="24"/>
      <c r="F70" s="60"/>
      <c r="G70" s="131">
        <f>G57</f>
        <v>101</v>
      </c>
      <c r="H70" s="132">
        <f>F70*G70</f>
        <v>0</v>
      </c>
    </row>
    <row r="71" spans="1:8" ht="13.7" hidden="1" customHeight="1" x14ac:dyDescent="0.25">
      <c r="A71" s="54"/>
      <c r="B71" s="54"/>
      <c r="C71" s="85" t="s">
        <v>199</v>
      </c>
      <c r="D71" s="156"/>
      <c r="E71" s="62"/>
      <c r="F71" s="63"/>
      <c r="G71" s="62"/>
      <c r="H71" s="63"/>
    </row>
    <row r="72" spans="1:8" ht="62.1" hidden="1" customHeight="1" x14ac:dyDescent="0.25">
      <c r="A72" s="52"/>
      <c r="B72" s="52"/>
      <c r="C72" s="2" t="s">
        <v>21</v>
      </c>
      <c r="D72" s="10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72" s="233" t="s">
        <v>7</v>
      </c>
      <c r="F72" s="64">
        <f>'Оборудование и материалы'!$D$17</f>
        <v>18389.830508474577</v>
      </c>
      <c r="G72" s="31"/>
      <c r="H72" s="64">
        <f>G72*F72</f>
        <v>0</v>
      </c>
    </row>
    <row r="73" spans="1:8" ht="13.7" hidden="1" customHeight="1" x14ac:dyDescent="0.25">
      <c r="A73" s="52"/>
      <c r="B73" s="52"/>
      <c r="C73" s="1" t="s">
        <v>22</v>
      </c>
      <c r="D73" s="1" t="str">
        <f>'Оборудование и материалы'!$A$92</f>
        <v>Провод СИП4 4х25 мм2</v>
      </c>
      <c r="E73" s="233" t="s">
        <v>8</v>
      </c>
      <c r="F73" s="64">
        <f>'Оборудование и материалы'!$D$92</f>
        <v>112.3198220338983</v>
      </c>
      <c r="G73" s="31">
        <f>G72*25</f>
        <v>0</v>
      </c>
      <c r="H73" s="64">
        <f t="shared" ref="H73:H82" si="3">G73*F73</f>
        <v>0</v>
      </c>
    </row>
    <row r="74" spans="1:8" ht="13.7" hidden="1" customHeight="1" x14ac:dyDescent="0.25">
      <c r="A74" s="52"/>
      <c r="B74" s="52"/>
      <c r="C74" s="2" t="s">
        <v>69</v>
      </c>
      <c r="D74" s="10" t="str">
        <f>'Оборудование и материалы'!$A$94</f>
        <v xml:space="preserve">Кабель АВВГнг LS 4х25 мм2 </v>
      </c>
      <c r="E74" s="233" t="s">
        <v>8</v>
      </c>
      <c r="F74" s="64">
        <f>'Оборудование и материалы'!$D$94</f>
        <v>122.9491525423729</v>
      </c>
      <c r="G74" s="31">
        <f>G72*6</f>
        <v>0</v>
      </c>
      <c r="H74" s="64">
        <f t="shared" si="3"/>
        <v>0</v>
      </c>
    </row>
    <row r="75" spans="1:8" ht="13.7" hidden="1" customHeight="1" x14ac:dyDescent="0.25">
      <c r="A75" s="52"/>
      <c r="B75" s="52"/>
      <c r="C75" s="21" t="s">
        <v>158</v>
      </c>
      <c r="D75" s="10" t="str">
        <f>'Оборудование и материалы'!$A$109</f>
        <v>Влагозащищенный прокалывающий зажим SLIP 12.1</v>
      </c>
      <c r="E75" s="233" t="s">
        <v>7</v>
      </c>
      <c r="F75" s="64">
        <f>'Оборудование и материалы'!$D$109</f>
        <v>200.90724456279662</v>
      </c>
      <c r="G75" s="31">
        <f>G72*4</f>
        <v>0</v>
      </c>
      <c r="H75" s="64">
        <f t="shared" si="3"/>
        <v>0</v>
      </c>
    </row>
    <row r="76" spans="1:8" ht="13.7" hidden="1" customHeight="1" x14ac:dyDescent="0.25">
      <c r="A76" s="52"/>
      <c r="B76" s="52"/>
      <c r="C76" s="21" t="s">
        <v>158</v>
      </c>
      <c r="D76" s="10" t="str">
        <f>'Оборудование и материалы'!A110</f>
        <v>Влагозащищенный прокалывающий зажим SLIP 12.127</v>
      </c>
      <c r="E76" s="233" t="s">
        <v>7</v>
      </c>
      <c r="F76" s="64">
        <f>'Оборудование и материалы'!D110</f>
        <v>208.23728813559322</v>
      </c>
      <c r="G76" s="31">
        <f>G72*4</f>
        <v>0</v>
      </c>
      <c r="H76" s="64">
        <f t="shared" si="3"/>
        <v>0</v>
      </c>
    </row>
    <row r="77" spans="1:8" ht="13.7" hidden="1" customHeight="1" x14ac:dyDescent="0.25">
      <c r="A77" s="52"/>
      <c r="B77" s="52"/>
      <c r="C77" s="21" t="s">
        <v>13</v>
      </c>
      <c r="D77" s="129" t="str">
        <f>'Оборудование и материалы'!$A$111</f>
        <v>Анкерный зажим SO158.1</v>
      </c>
      <c r="E77" s="233" t="s">
        <v>7</v>
      </c>
      <c r="F77" s="64">
        <f>'Оборудование и материалы'!$D$111</f>
        <v>153.5593220338983</v>
      </c>
      <c r="G77" s="31">
        <f>G72*2</f>
        <v>0</v>
      </c>
      <c r="H77" s="64">
        <f t="shared" si="3"/>
        <v>0</v>
      </c>
    </row>
    <row r="78" spans="1:8" ht="13.7" hidden="1" customHeight="1" x14ac:dyDescent="0.25">
      <c r="A78" s="52"/>
      <c r="B78" s="52"/>
      <c r="C78" s="21" t="s">
        <v>115</v>
      </c>
      <c r="D78" s="129" t="str">
        <f>'Оборудование и материалы'!$A$112</f>
        <v>Анкерный кронштейн SO253</v>
      </c>
      <c r="E78" s="233" t="s">
        <v>7</v>
      </c>
      <c r="F78" s="64">
        <f>'Оборудование и материалы'!$D$112</f>
        <v>247.12711864406782</v>
      </c>
      <c r="G78" s="31">
        <f>G72*1</f>
        <v>0</v>
      </c>
      <c r="H78" s="64">
        <f t="shared" si="3"/>
        <v>0</v>
      </c>
    </row>
    <row r="79" spans="1:8" ht="13.7" hidden="1" customHeight="1" x14ac:dyDescent="0.25">
      <c r="A79" s="52"/>
      <c r="B79" s="52"/>
      <c r="C79" s="4" t="s">
        <v>14</v>
      </c>
      <c r="D79" s="129" t="str">
        <f>'Оборудование и материалы'!$A$113</f>
        <v>Крюк-болт  (Анкерный крюк) SOT16.12</v>
      </c>
      <c r="E79" s="233" t="s">
        <v>7</v>
      </c>
      <c r="F79" s="64">
        <f>'Оборудование и материалы'!$D$113</f>
        <v>96.788135593220332</v>
      </c>
      <c r="G79" s="31">
        <f>G72*1</f>
        <v>0</v>
      </c>
      <c r="H79" s="64">
        <f t="shared" si="3"/>
        <v>0</v>
      </c>
    </row>
    <row r="80" spans="1:8" ht="13.7" hidden="1" customHeight="1" x14ac:dyDescent="0.25">
      <c r="A80" s="52"/>
      <c r="B80" s="52"/>
      <c r="C80" s="4" t="s">
        <v>15</v>
      </c>
      <c r="D80" s="129" t="str">
        <f>'Оборудование и материалы'!$A$114</f>
        <v>Монтажная стальная лента из нержавеющей стали  COT37</v>
      </c>
      <c r="E80" s="31" t="s">
        <v>8</v>
      </c>
      <c r="F80" s="64">
        <f>'Оборудование и материалы'!$D$114</f>
        <v>75.271186440677965</v>
      </c>
      <c r="G80" s="31">
        <f>G72*4</f>
        <v>0</v>
      </c>
      <c r="H80" s="64">
        <f t="shared" si="3"/>
        <v>0</v>
      </c>
    </row>
    <row r="81" spans="1:8" ht="13.7" hidden="1" customHeight="1" x14ac:dyDescent="0.25">
      <c r="A81" s="52"/>
      <c r="B81" s="52"/>
      <c r="C81" s="2" t="s">
        <v>9</v>
      </c>
      <c r="D81" s="129" t="str">
        <f>'Оборудование и материалы'!$A$115</f>
        <v>Скрепа COT36</v>
      </c>
      <c r="E81" s="31" t="s">
        <v>7</v>
      </c>
      <c r="F81" s="64">
        <f>'Оборудование и материалы'!$D$115</f>
        <v>18.694915254237287</v>
      </c>
      <c r="G81" s="31">
        <f>G72*4</f>
        <v>0</v>
      </c>
      <c r="H81" s="64">
        <f t="shared" si="3"/>
        <v>0</v>
      </c>
    </row>
    <row r="82" spans="1:8" ht="13.7" hidden="1" customHeight="1" x14ac:dyDescent="0.25">
      <c r="A82" s="59"/>
      <c r="B82" s="59"/>
      <c r="C82" s="2" t="s">
        <v>16</v>
      </c>
      <c r="D82" s="8" t="str">
        <f>'Оборудование и материалы'!$A$179</f>
        <v>Крепление кронштейна и кабеля анкерный болт, гайка, шайба, стяжка</v>
      </c>
      <c r="E82" s="24" t="s">
        <v>7</v>
      </c>
      <c r="F82" s="60">
        <f>'Оборудование и материалы'!$D$179</f>
        <v>508.47457627118649</v>
      </c>
      <c r="G82" s="24">
        <f>G72*1</f>
        <v>0</v>
      </c>
      <c r="H82" s="60">
        <f t="shared" si="3"/>
        <v>0</v>
      </c>
    </row>
    <row r="83" spans="1:8" ht="13.7" hidden="1" customHeight="1" x14ac:dyDescent="0.25">
      <c r="A83" s="59"/>
      <c r="B83" s="59"/>
      <c r="C83" s="2"/>
      <c r="D83" s="8"/>
      <c r="E83" s="24"/>
      <c r="F83" s="60"/>
      <c r="G83" s="24"/>
      <c r="H83" s="60"/>
    </row>
    <row r="84" spans="1:8" ht="13.7" hidden="1" customHeight="1" x14ac:dyDescent="0.25">
      <c r="A84" s="59"/>
      <c r="B84" s="59"/>
      <c r="C84" s="2"/>
      <c r="D84" s="14" t="s">
        <v>62</v>
      </c>
      <c r="E84" s="24"/>
      <c r="F84" s="60"/>
      <c r="G84" s="24"/>
      <c r="H84" s="60">
        <f>SUM(H72:H72)</f>
        <v>0</v>
      </c>
    </row>
    <row r="85" spans="1:8" ht="13.7" hidden="1" customHeight="1" x14ac:dyDescent="0.25">
      <c r="A85" s="59"/>
      <c r="B85" s="59"/>
      <c r="C85" s="2"/>
      <c r="D85" s="117" t="s">
        <v>107</v>
      </c>
      <c r="E85" s="24"/>
      <c r="F85" s="60"/>
      <c r="G85" s="24"/>
      <c r="H85" s="60">
        <f>SUM(H73:H82)</f>
        <v>0</v>
      </c>
    </row>
    <row r="86" spans="1:8" ht="13.7" hidden="1" customHeight="1" x14ac:dyDescent="0.25">
      <c r="A86" s="59"/>
      <c r="B86" s="59"/>
      <c r="C86" s="2"/>
      <c r="D86" s="15" t="s">
        <v>131</v>
      </c>
      <c r="E86" s="24"/>
      <c r="F86" s="60"/>
      <c r="G86" s="131">
        <f>G72</f>
        <v>0</v>
      </c>
      <c r="H86" s="132">
        <f>G86*F86</f>
        <v>0</v>
      </c>
    </row>
    <row r="87" spans="1:8" ht="13.7" hidden="1" customHeight="1" x14ac:dyDescent="0.25">
      <c r="A87" s="157"/>
      <c r="B87" s="157"/>
      <c r="C87" s="162" t="s">
        <v>200</v>
      </c>
      <c r="D87" s="174" t="s">
        <v>195</v>
      </c>
      <c r="E87" s="158"/>
      <c r="F87" s="159"/>
      <c r="G87" s="160"/>
      <c r="H87" s="161"/>
    </row>
    <row r="88" spans="1:8" ht="62.1" hidden="1" customHeight="1" x14ac:dyDescent="0.25">
      <c r="A88" s="59"/>
      <c r="B88" s="59"/>
      <c r="C88" s="2" t="s">
        <v>21</v>
      </c>
      <c r="D88" s="19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88" s="24" t="s">
        <v>7</v>
      </c>
      <c r="F88" s="60">
        <f>'Оборудование и материалы'!$D$17</f>
        <v>18389.830508474577</v>
      </c>
      <c r="G88" s="24"/>
      <c r="H88" s="60">
        <f>F88*G88</f>
        <v>0</v>
      </c>
    </row>
    <row r="89" spans="1:8" ht="13.7" hidden="1" customHeight="1" x14ac:dyDescent="0.25">
      <c r="A89" s="59"/>
      <c r="B89" s="59"/>
      <c r="C89" s="2" t="s">
        <v>22</v>
      </c>
      <c r="D89" s="19" t="str">
        <f>'Оборудование и материалы'!$A$92</f>
        <v>Провод СИП4 4х25 мм2</v>
      </c>
      <c r="E89" s="24" t="s">
        <v>8</v>
      </c>
      <c r="F89" s="60">
        <f>'Оборудование и материалы'!$D$92</f>
        <v>112.3198220338983</v>
      </c>
      <c r="G89" s="24">
        <f>G88*12</f>
        <v>0</v>
      </c>
      <c r="H89" s="60">
        <f>F89*G89</f>
        <v>0</v>
      </c>
    </row>
    <row r="90" spans="1:8" ht="13.7" hidden="1" customHeight="1" x14ac:dyDescent="0.25">
      <c r="A90" s="59"/>
      <c r="B90" s="59"/>
      <c r="C90" s="2" t="s">
        <v>158</v>
      </c>
      <c r="D90" s="19" t="str">
        <f>'Оборудование и материалы'!$A$109</f>
        <v>Влагозащищенный прокалывающий зажим SLIP 12.1</v>
      </c>
      <c r="E90" s="24" t="s">
        <v>7</v>
      </c>
      <c r="F90" s="60">
        <f>'Оборудование и материалы'!$D$109</f>
        <v>200.90724456279662</v>
      </c>
      <c r="G90" s="24">
        <f>G88*4</f>
        <v>0</v>
      </c>
      <c r="H90" s="60">
        <f>F90*G90</f>
        <v>0</v>
      </c>
    </row>
    <row r="91" spans="1:8" ht="13.7" hidden="1" customHeight="1" x14ac:dyDescent="0.25">
      <c r="A91" s="59"/>
      <c r="B91" s="59"/>
      <c r="C91" s="2" t="s">
        <v>15</v>
      </c>
      <c r="D91" s="19" t="str">
        <f>'Оборудование и материалы'!$A$114</f>
        <v>Монтажная стальная лента из нержавеющей стали  COT37</v>
      </c>
      <c r="E91" s="24" t="s">
        <v>8</v>
      </c>
      <c r="F91" s="60">
        <f>'Оборудование и материалы'!$D$114</f>
        <v>75.271186440677965</v>
      </c>
      <c r="G91" s="24">
        <f>G88*4</f>
        <v>0</v>
      </c>
      <c r="H91" s="60">
        <f>G91*F91</f>
        <v>0</v>
      </c>
    </row>
    <row r="92" spans="1:8" ht="13.7" hidden="1" customHeight="1" x14ac:dyDescent="0.25">
      <c r="A92" s="59"/>
      <c r="B92" s="59"/>
      <c r="C92" s="2" t="s">
        <v>9</v>
      </c>
      <c r="D92" s="19" t="str">
        <f>'Оборудование и материалы'!$A$115</f>
        <v>Скрепа COT36</v>
      </c>
      <c r="E92" s="24" t="s">
        <v>7</v>
      </c>
      <c r="F92" s="60">
        <f>'Оборудование и материалы'!$D$115</f>
        <v>18.694915254237287</v>
      </c>
      <c r="G92" s="24">
        <f>G88*4</f>
        <v>0</v>
      </c>
      <c r="H92" s="60">
        <f>G92*F92</f>
        <v>0</v>
      </c>
    </row>
    <row r="93" spans="1:8" ht="13.7" hidden="1" customHeight="1" x14ac:dyDescent="0.25">
      <c r="A93" s="59"/>
      <c r="B93" s="59"/>
      <c r="C93" s="2"/>
      <c r="D93" s="15"/>
      <c r="E93" s="24"/>
      <c r="F93" s="60"/>
      <c r="G93" s="24"/>
      <c r="H93" s="60"/>
    </row>
    <row r="94" spans="1:8" ht="13.7" hidden="1" customHeight="1" x14ac:dyDescent="0.25">
      <c r="A94" s="59"/>
      <c r="B94" s="59"/>
      <c r="C94" s="2"/>
      <c r="D94" s="15" t="s">
        <v>62</v>
      </c>
      <c r="E94" s="24"/>
      <c r="F94" s="60"/>
      <c r="G94" s="24"/>
      <c r="H94" s="60">
        <f>H88</f>
        <v>0</v>
      </c>
    </row>
    <row r="95" spans="1:8" ht="13.7" hidden="1" customHeight="1" x14ac:dyDescent="0.25">
      <c r="A95" s="59"/>
      <c r="B95" s="59"/>
      <c r="C95" s="2"/>
      <c r="D95" s="15" t="s">
        <v>107</v>
      </c>
      <c r="E95" s="24"/>
      <c r="F95" s="60"/>
      <c r="G95" s="24"/>
      <c r="H95" s="60">
        <f>SUM(H89:H92)</f>
        <v>0</v>
      </c>
    </row>
    <row r="96" spans="1:8" ht="13.7" hidden="1" customHeight="1" x14ac:dyDescent="0.25">
      <c r="A96" s="59"/>
      <c r="B96" s="59"/>
      <c r="C96" s="2"/>
      <c r="D96" s="15" t="s">
        <v>131</v>
      </c>
      <c r="E96" s="24"/>
      <c r="F96" s="60"/>
      <c r="G96" s="131">
        <f>G88</f>
        <v>0</v>
      </c>
      <c r="H96" s="132">
        <f>F96*G96</f>
        <v>0</v>
      </c>
    </row>
    <row r="97" spans="1:8" ht="13.7" customHeight="1" x14ac:dyDescent="0.25">
      <c r="A97" s="65"/>
      <c r="B97" s="65"/>
      <c r="C97" s="48" t="s">
        <v>26</v>
      </c>
      <c r="D97" s="66"/>
      <c r="E97" s="67"/>
      <c r="F97" s="68"/>
      <c r="G97" s="67"/>
      <c r="H97" s="68"/>
    </row>
    <row r="98" spans="1:8" ht="13.7" customHeight="1" x14ac:dyDescent="0.25">
      <c r="A98" s="54"/>
      <c r="B98" s="54"/>
      <c r="C98" s="175" t="s">
        <v>27</v>
      </c>
      <c r="D98" s="61"/>
      <c r="E98" s="62"/>
      <c r="F98" s="63"/>
      <c r="G98" s="62"/>
      <c r="H98" s="63"/>
    </row>
    <row r="99" spans="1:8" ht="58.5" customHeight="1" x14ac:dyDescent="0.25">
      <c r="A99" s="52"/>
      <c r="B99" s="52"/>
      <c r="C99" s="21" t="s">
        <v>6</v>
      </c>
      <c r="D99" s="10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99" s="233" t="s">
        <v>7</v>
      </c>
      <c r="F99" s="64">
        <f>'Оборудование и материалы'!$D$16</f>
        <v>10681.745762711864</v>
      </c>
      <c r="G99" s="31">
        <v>9</v>
      </c>
      <c r="H99" s="64">
        <f t="shared" ref="H99:H108" si="4">F99*G99</f>
        <v>96135.711864406767</v>
      </c>
    </row>
    <row r="100" spans="1:8" ht="13.7" customHeight="1" x14ac:dyDescent="0.25">
      <c r="A100" s="52"/>
      <c r="B100" s="52"/>
      <c r="C100" s="21" t="s">
        <v>12</v>
      </c>
      <c r="D100" s="1" t="str">
        <f>'Оборудование и материалы'!$A$91</f>
        <v>Провод СИП4 2х16 мм2</v>
      </c>
      <c r="E100" s="233" t="s">
        <v>8</v>
      </c>
      <c r="F100" s="64">
        <f>'Оборудование и материалы'!$D$91</f>
        <v>38.964228813559323</v>
      </c>
      <c r="G100" s="31">
        <f>G99*25</f>
        <v>225</v>
      </c>
      <c r="H100" s="64">
        <f t="shared" si="4"/>
        <v>8766.9514830508469</v>
      </c>
    </row>
    <row r="101" spans="1:8" ht="13.7" customHeight="1" x14ac:dyDescent="0.25">
      <c r="A101" s="52"/>
      <c r="B101" s="52"/>
      <c r="C101" s="21" t="s">
        <v>158</v>
      </c>
      <c r="D101" s="10" t="str">
        <f>'Оборудование и материалы'!$A$109</f>
        <v>Влагозащищенный прокалывающий зажим SLIP 12.1</v>
      </c>
      <c r="E101" s="233" t="s">
        <v>7</v>
      </c>
      <c r="F101" s="64">
        <f>'Оборудование и материалы'!$D$109</f>
        <v>200.90724456279662</v>
      </c>
      <c r="G101" s="31">
        <f>G99*2</f>
        <v>18</v>
      </c>
      <c r="H101" s="64">
        <f t="shared" si="4"/>
        <v>3616.3304021303393</v>
      </c>
    </row>
    <row r="102" spans="1:8" ht="13.7" customHeight="1" x14ac:dyDescent="0.25">
      <c r="A102" s="52"/>
      <c r="B102" s="52"/>
      <c r="C102" s="21" t="s">
        <v>158</v>
      </c>
      <c r="D102" s="10" t="str">
        <f>'Оборудование и материалы'!$A$110</f>
        <v>Влагозащищенный прокалывающий зажим SLIP 12.127</v>
      </c>
      <c r="E102" s="233" t="s">
        <v>7</v>
      </c>
      <c r="F102" s="64">
        <f>'Оборудование и материалы'!$D$110</f>
        <v>208.23728813559322</v>
      </c>
      <c r="G102" s="31">
        <f>G99*2</f>
        <v>18</v>
      </c>
      <c r="H102" s="64">
        <f t="shared" si="4"/>
        <v>3748.2711864406779</v>
      </c>
    </row>
    <row r="103" spans="1:8" ht="13.7" customHeight="1" x14ac:dyDescent="0.25">
      <c r="A103" s="52"/>
      <c r="B103" s="52"/>
      <c r="C103" s="21" t="s">
        <v>13</v>
      </c>
      <c r="D103" s="129" t="str">
        <f>'Оборудование и материалы'!$A$111</f>
        <v>Анкерный зажим SO158.1</v>
      </c>
      <c r="E103" s="233" t="s">
        <v>7</v>
      </c>
      <c r="F103" s="64">
        <f>'Оборудование и материалы'!$D$111</f>
        <v>153.5593220338983</v>
      </c>
      <c r="G103" s="31">
        <f>G99*2</f>
        <v>18</v>
      </c>
      <c r="H103" s="64">
        <f t="shared" si="4"/>
        <v>2764.0677966101694</v>
      </c>
    </row>
    <row r="104" spans="1:8" ht="13.7" customHeight="1" x14ac:dyDescent="0.25">
      <c r="A104" s="52"/>
      <c r="B104" s="52"/>
      <c r="C104" s="21" t="s">
        <v>115</v>
      </c>
      <c r="D104" s="129" t="str">
        <f>'Оборудование и материалы'!$A$112</f>
        <v>Анкерный кронштейн SO253</v>
      </c>
      <c r="E104" s="233" t="s">
        <v>7</v>
      </c>
      <c r="F104" s="64">
        <f>'Оборудование и материалы'!$D$112</f>
        <v>247.12711864406782</v>
      </c>
      <c r="G104" s="31">
        <f>G99*1</f>
        <v>9</v>
      </c>
      <c r="H104" s="64">
        <f t="shared" si="4"/>
        <v>2224.1440677966102</v>
      </c>
    </row>
    <row r="105" spans="1:8" ht="13.7" customHeight="1" x14ac:dyDescent="0.25">
      <c r="A105" s="52"/>
      <c r="B105" s="52"/>
      <c r="C105" s="21" t="s">
        <v>14</v>
      </c>
      <c r="D105" s="129" t="str">
        <f>'Оборудование и материалы'!$A$113</f>
        <v>Крюк-болт  (Анкерный крюк) SOT16.12</v>
      </c>
      <c r="E105" s="233" t="s">
        <v>7</v>
      </c>
      <c r="F105" s="64">
        <f>'Оборудование и материалы'!$D$113</f>
        <v>96.788135593220332</v>
      </c>
      <c r="G105" s="31">
        <f>G99*1</f>
        <v>9</v>
      </c>
      <c r="H105" s="64">
        <f t="shared" si="4"/>
        <v>871.09322033898297</v>
      </c>
    </row>
    <row r="106" spans="1:8" ht="13.7" customHeight="1" x14ac:dyDescent="0.25">
      <c r="A106" s="52"/>
      <c r="B106" s="52"/>
      <c r="C106" s="21" t="s">
        <v>15</v>
      </c>
      <c r="D106" s="129" t="str">
        <f>'Оборудование и материалы'!$A$114</f>
        <v>Монтажная стальная лента из нержавеющей стали  COT37</v>
      </c>
      <c r="E106" s="233" t="s">
        <v>7</v>
      </c>
      <c r="F106" s="64">
        <f>'Оборудование и материалы'!$D$114</f>
        <v>75.271186440677965</v>
      </c>
      <c r="G106" s="31">
        <f>G99*2</f>
        <v>18</v>
      </c>
      <c r="H106" s="64">
        <f t="shared" si="4"/>
        <v>1354.8813559322034</v>
      </c>
    </row>
    <row r="107" spans="1:8" ht="13.7" customHeight="1" x14ac:dyDescent="0.25">
      <c r="A107" s="52"/>
      <c r="B107" s="52"/>
      <c r="C107" s="21" t="s">
        <v>9</v>
      </c>
      <c r="D107" s="129" t="str">
        <f>'Оборудование и материалы'!$A$115</f>
        <v>Скрепа COT36</v>
      </c>
      <c r="E107" s="233" t="s">
        <v>7</v>
      </c>
      <c r="F107" s="64">
        <f>'Оборудование и материалы'!$D$115</f>
        <v>18.694915254237287</v>
      </c>
      <c r="G107" s="31">
        <f>G99*2</f>
        <v>18</v>
      </c>
      <c r="H107" s="64">
        <f t="shared" si="4"/>
        <v>336.50847457627117</v>
      </c>
    </row>
    <row r="108" spans="1:8" ht="13.7" customHeight="1" x14ac:dyDescent="0.25">
      <c r="A108" s="59"/>
      <c r="B108" s="59"/>
      <c r="C108" s="8" t="s">
        <v>16</v>
      </c>
      <c r="D108" s="13" t="str">
        <f>'Оборудование и материалы'!$A$179</f>
        <v>Крепление кронштейна и кабеля анкерный болт, гайка, шайба, стяжка</v>
      </c>
      <c r="E108" s="24" t="s">
        <v>7</v>
      </c>
      <c r="F108" s="60">
        <f>'Оборудование и материалы'!$D$179</f>
        <v>508.47457627118649</v>
      </c>
      <c r="G108" s="24">
        <f>G99*1</f>
        <v>9</v>
      </c>
      <c r="H108" s="60">
        <f t="shared" si="4"/>
        <v>4576.2711864406783</v>
      </c>
    </row>
    <row r="109" spans="1:8" ht="13.7" customHeight="1" x14ac:dyDescent="0.25">
      <c r="A109" s="59"/>
      <c r="B109" s="59"/>
      <c r="C109" s="124"/>
      <c r="D109" s="125"/>
      <c r="E109" s="24"/>
      <c r="F109" s="60"/>
      <c r="G109" s="24"/>
      <c r="H109" s="60"/>
    </row>
    <row r="110" spans="1:8" ht="13.7" customHeight="1" x14ac:dyDescent="0.25">
      <c r="A110" s="59"/>
      <c r="B110" s="59"/>
      <c r="C110" s="124"/>
      <c r="D110" s="14" t="s">
        <v>62</v>
      </c>
      <c r="E110" s="24"/>
      <c r="F110" s="60"/>
      <c r="G110" s="24"/>
      <c r="H110" s="60">
        <f>SUM(H99:H99)</f>
        <v>96135.711864406767</v>
      </c>
    </row>
    <row r="111" spans="1:8" ht="13.7" customHeight="1" x14ac:dyDescent="0.25">
      <c r="A111" s="59"/>
      <c r="B111" s="59"/>
      <c r="C111" s="124"/>
      <c r="D111" s="117" t="s">
        <v>107</v>
      </c>
      <c r="E111" s="24"/>
      <c r="F111" s="60"/>
      <c r="G111" s="24"/>
      <c r="H111" s="60">
        <f>SUM(H100:H108)</f>
        <v>28258.519173316778</v>
      </c>
    </row>
    <row r="112" spans="1:8" ht="13.7" customHeight="1" x14ac:dyDescent="0.25">
      <c r="A112" s="59"/>
      <c r="B112" s="59"/>
      <c r="C112" s="124"/>
      <c r="D112" s="15" t="s">
        <v>131</v>
      </c>
      <c r="E112" s="24"/>
      <c r="F112" s="60"/>
      <c r="G112" s="131">
        <f>G99</f>
        <v>9</v>
      </c>
      <c r="H112" s="132">
        <f>F112*G112</f>
        <v>0</v>
      </c>
    </row>
    <row r="113" spans="1:8" ht="13.7" hidden="1" customHeight="1" x14ac:dyDescent="0.25">
      <c r="A113" s="89"/>
      <c r="B113" s="89"/>
      <c r="C113" s="175" t="s">
        <v>201</v>
      </c>
      <c r="D113" s="173"/>
      <c r="E113" s="91"/>
      <c r="F113" s="92"/>
      <c r="G113" s="91"/>
      <c r="H113" s="92"/>
    </row>
    <row r="114" spans="1:8" s="241" customFormat="1" ht="61.5" hidden="1" customHeight="1" x14ac:dyDescent="0.25">
      <c r="A114" s="59"/>
      <c r="B114" s="59"/>
      <c r="C114" s="171" t="s">
        <v>6</v>
      </c>
      <c r="D114" s="171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114" s="24" t="s">
        <v>7</v>
      </c>
      <c r="F114" s="60">
        <f>'Оборудование и материалы'!$D$16</f>
        <v>10681.745762711864</v>
      </c>
      <c r="G114" s="24"/>
      <c r="H114" s="60">
        <f>G114*F114</f>
        <v>0</v>
      </c>
    </row>
    <row r="115" spans="1:8" s="241" customFormat="1" ht="13.7" hidden="1" customHeight="1" x14ac:dyDescent="0.25">
      <c r="A115" s="59"/>
      <c r="B115" s="59"/>
      <c r="C115" s="171" t="s">
        <v>12</v>
      </c>
      <c r="D115" s="171" t="str">
        <f>'Оборудование и материалы'!$A$91</f>
        <v>Провод СИП4 2х16 мм2</v>
      </c>
      <c r="E115" s="24" t="s">
        <v>8</v>
      </c>
      <c r="F115" s="60">
        <f>'Оборудование и материалы'!$D$91</f>
        <v>38.964228813559323</v>
      </c>
      <c r="G115" s="24">
        <f>G114*25</f>
        <v>0</v>
      </c>
      <c r="H115" s="60">
        <f t="shared" ref="H115:H124" si="5">G115*F115</f>
        <v>0</v>
      </c>
    </row>
    <row r="116" spans="1:8" s="241" customFormat="1" ht="13.7" hidden="1" customHeight="1" x14ac:dyDescent="0.25">
      <c r="A116" s="59"/>
      <c r="B116" s="59"/>
      <c r="C116" s="171" t="s">
        <v>69</v>
      </c>
      <c r="D116" s="171" t="str">
        <f>'Оборудование и материалы'!$A$93</f>
        <v xml:space="preserve">Кабель АВВГнг LS 2х16 мм2 </v>
      </c>
      <c r="E116" s="24" t="s">
        <v>8</v>
      </c>
      <c r="F116" s="60">
        <f>'Оборудование и материалы'!$D$93</f>
        <v>57.152542372881356</v>
      </c>
      <c r="G116" s="24">
        <f>G114*6</f>
        <v>0</v>
      </c>
      <c r="H116" s="60">
        <f t="shared" si="5"/>
        <v>0</v>
      </c>
    </row>
    <row r="117" spans="1:8" s="241" customFormat="1" ht="13.7" hidden="1" customHeight="1" x14ac:dyDescent="0.25">
      <c r="A117" s="59"/>
      <c r="B117" s="59"/>
      <c r="C117" s="171" t="s">
        <v>158</v>
      </c>
      <c r="D117" s="171" t="str">
        <f>'Оборудование и материалы'!$A$109</f>
        <v>Влагозащищенный прокалывающий зажим SLIP 12.1</v>
      </c>
      <c r="E117" s="24" t="s">
        <v>7</v>
      </c>
      <c r="F117" s="60">
        <f>'Оборудование и материалы'!$D$109</f>
        <v>200.90724456279662</v>
      </c>
      <c r="G117" s="24">
        <f>G114*2</f>
        <v>0</v>
      </c>
      <c r="H117" s="60">
        <f t="shared" si="5"/>
        <v>0</v>
      </c>
    </row>
    <row r="118" spans="1:8" s="241" customFormat="1" ht="13.7" hidden="1" customHeight="1" x14ac:dyDescent="0.25">
      <c r="A118" s="59"/>
      <c r="B118" s="59"/>
      <c r="C118" s="171" t="s">
        <v>158</v>
      </c>
      <c r="D118" s="171" t="str">
        <f>'Оборудование и материалы'!$A$110</f>
        <v>Влагозащищенный прокалывающий зажим SLIP 12.127</v>
      </c>
      <c r="E118" s="24" t="s">
        <v>7</v>
      </c>
      <c r="F118" s="60">
        <f>'Оборудование и материалы'!$D$110</f>
        <v>208.23728813559322</v>
      </c>
      <c r="G118" s="24">
        <f>G114*2</f>
        <v>0</v>
      </c>
      <c r="H118" s="60">
        <f t="shared" si="5"/>
        <v>0</v>
      </c>
    </row>
    <row r="119" spans="1:8" s="241" customFormat="1" ht="13.7" hidden="1" customHeight="1" x14ac:dyDescent="0.25">
      <c r="A119" s="59"/>
      <c r="B119" s="59"/>
      <c r="C119" s="171" t="s">
        <v>13</v>
      </c>
      <c r="D119" s="171" t="str">
        <f>'Оборудование и материалы'!$A$111</f>
        <v>Анкерный зажим SO158.1</v>
      </c>
      <c r="E119" s="24" t="s">
        <v>7</v>
      </c>
      <c r="F119" s="60">
        <f>'Оборудование и материалы'!$D$111</f>
        <v>153.5593220338983</v>
      </c>
      <c r="G119" s="24">
        <f>G114*2</f>
        <v>0</v>
      </c>
      <c r="H119" s="60">
        <f t="shared" si="5"/>
        <v>0</v>
      </c>
    </row>
    <row r="120" spans="1:8" s="241" customFormat="1" ht="13.7" hidden="1" customHeight="1" x14ac:dyDescent="0.25">
      <c r="A120" s="59"/>
      <c r="B120" s="59"/>
      <c r="C120" s="171" t="s">
        <v>115</v>
      </c>
      <c r="D120" s="171" t="str">
        <f>'Оборудование и материалы'!$A$112</f>
        <v>Анкерный кронштейн SO253</v>
      </c>
      <c r="E120" s="24" t="s">
        <v>7</v>
      </c>
      <c r="F120" s="60">
        <f>'Оборудование и материалы'!$D$112</f>
        <v>247.12711864406782</v>
      </c>
      <c r="G120" s="24">
        <f>G114*1</f>
        <v>0</v>
      </c>
      <c r="H120" s="60">
        <f t="shared" si="5"/>
        <v>0</v>
      </c>
    </row>
    <row r="121" spans="1:8" s="241" customFormat="1" ht="13.7" hidden="1" customHeight="1" x14ac:dyDescent="0.25">
      <c r="A121" s="59"/>
      <c r="B121" s="59"/>
      <c r="C121" s="171" t="s">
        <v>14</v>
      </c>
      <c r="D121" s="171" t="str">
        <f>'Оборудование и материалы'!$A$113</f>
        <v>Крюк-болт  (Анкерный крюк) SOT16.12</v>
      </c>
      <c r="E121" s="24" t="s">
        <v>7</v>
      </c>
      <c r="F121" s="60">
        <f>'Оборудование и материалы'!$D$113</f>
        <v>96.788135593220332</v>
      </c>
      <c r="G121" s="24">
        <f>G114*1</f>
        <v>0</v>
      </c>
      <c r="H121" s="60">
        <f t="shared" si="5"/>
        <v>0</v>
      </c>
    </row>
    <row r="122" spans="1:8" s="241" customFormat="1" ht="13.7" hidden="1" customHeight="1" x14ac:dyDescent="0.25">
      <c r="A122" s="59"/>
      <c r="B122" s="59"/>
      <c r="C122" s="171" t="s">
        <v>15</v>
      </c>
      <c r="D122" s="171" t="str">
        <f>'Оборудование и материалы'!$A$114</f>
        <v>Монтажная стальная лента из нержавеющей стали  COT37</v>
      </c>
      <c r="E122" s="24" t="s">
        <v>7</v>
      </c>
      <c r="F122" s="60">
        <f>'Оборудование и материалы'!$D$114</f>
        <v>75.271186440677965</v>
      </c>
      <c r="G122" s="24">
        <f>G114*2</f>
        <v>0</v>
      </c>
      <c r="H122" s="60">
        <f t="shared" si="5"/>
        <v>0</v>
      </c>
    </row>
    <row r="123" spans="1:8" s="241" customFormat="1" ht="13.7" hidden="1" customHeight="1" x14ac:dyDescent="0.25">
      <c r="A123" s="59"/>
      <c r="B123" s="59"/>
      <c r="C123" s="171" t="s">
        <v>9</v>
      </c>
      <c r="D123" s="171" t="str">
        <f>'Оборудование и материалы'!$A$115</f>
        <v>Скрепа COT36</v>
      </c>
      <c r="E123" s="24" t="s">
        <v>7</v>
      </c>
      <c r="F123" s="60">
        <f>'Оборудование и материалы'!$D$115</f>
        <v>18.694915254237287</v>
      </c>
      <c r="G123" s="24">
        <f>G114*2</f>
        <v>0</v>
      </c>
      <c r="H123" s="60">
        <f t="shared" si="5"/>
        <v>0</v>
      </c>
    </row>
    <row r="124" spans="1:8" s="241" customFormat="1" ht="13.7" hidden="1" customHeight="1" x14ac:dyDescent="0.25">
      <c r="A124" s="59"/>
      <c r="B124" s="59"/>
      <c r="C124" s="171" t="s">
        <v>16</v>
      </c>
      <c r="D124" s="171" t="str">
        <f>'Оборудование и материалы'!$A$179</f>
        <v>Крепление кронштейна и кабеля анкерный болт, гайка, шайба, стяжка</v>
      </c>
      <c r="E124" s="24" t="s">
        <v>7</v>
      </c>
      <c r="F124" s="60">
        <f>'Оборудование и материалы'!$D$179</f>
        <v>508.47457627118649</v>
      </c>
      <c r="G124" s="24">
        <f>G114*1</f>
        <v>0</v>
      </c>
      <c r="H124" s="60">
        <f t="shared" si="5"/>
        <v>0</v>
      </c>
    </row>
    <row r="125" spans="1:8" s="241" customFormat="1" ht="13.7" hidden="1" customHeight="1" x14ac:dyDescent="0.25">
      <c r="A125" s="59"/>
      <c r="B125" s="59"/>
      <c r="C125" s="171"/>
      <c r="D125" s="176"/>
      <c r="E125" s="24"/>
      <c r="F125" s="60"/>
      <c r="G125" s="24"/>
      <c r="H125" s="60"/>
    </row>
    <row r="126" spans="1:8" s="241" customFormat="1" ht="13.7" hidden="1" customHeight="1" x14ac:dyDescent="0.25">
      <c r="A126" s="59"/>
      <c r="B126" s="59"/>
      <c r="C126" s="171"/>
      <c r="D126" s="177" t="s">
        <v>62</v>
      </c>
      <c r="E126" s="24"/>
      <c r="F126" s="60"/>
      <c r="G126" s="24"/>
      <c r="H126" s="60">
        <f>SUM(H114:H114)</f>
        <v>0</v>
      </c>
    </row>
    <row r="127" spans="1:8" s="241" customFormat="1" ht="13.7" hidden="1" customHeight="1" x14ac:dyDescent="0.25">
      <c r="A127" s="59"/>
      <c r="B127" s="59"/>
      <c r="C127" s="171"/>
      <c r="D127" s="177" t="s">
        <v>107</v>
      </c>
      <c r="E127" s="24"/>
      <c r="F127" s="60"/>
      <c r="G127" s="24"/>
      <c r="H127" s="60">
        <f>SUM(H115:H124)</f>
        <v>0</v>
      </c>
    </row>
    <row r="128" spans="1:8" s="241" customFormat="1" ht="13.7" hidden="1" customHeight="1" x14ac:dyDescent="0.25">
      <c r="A128" s="59"/>
      <c r="B128" s="59"/>
      <c r="C128" s="171"/>
      <c r="D128" s="177" t="s">
        <v>131</v>
      </c>
      <c r="E128" s="24"/>
      <c r="F128" s="60"/>
      <c r="G128" s="131">
        <f>G114</f>
        <v>0</v>
      </c>
      <c r="H128" s="132">
        <f>G128*F128</f>
        <v>0</v>
      </c>
    </row>
    <row r="129" spans="1:8" s="241" customFormat="1" ht="13.7" hidden="1" customHeight="1" x14ac:dyDescent="0.25">
      <c r="A129" s="157"/>
      <c r="B129" s="157"/>
      <c r="C129" s="179" t="s">
        <v>202</v>
      </c>
      <c r="D129" s="178" t="s">
        <v>195</v>
      </c>
      <c r="E129" s="158"/>
      <c r="F129" s="159"/>
      <c r="G129" s="158"/>
      <c r="H129" s="159"/>
    </row>
    <row r="130" spans="1:8" s="241" customFormat="1" ht="61.5" hidden="1" customHeight="1" x14ac:dyDescent="0.25">
      <c r="A130" s="59"/>
      <c r="B130" s="59"/>
      <c r="C130" s="171" t="s">
        <v>6</v>
      </c>
      <c r="D130" s="171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130" s="24" t="s">
        <v>7</v>
      </c>
      <c r="F130" s="60">
        <f>'Оборудование и материалы'!$D$16</f>
        <v>10681.745762711864</v>
      </c>
      <c r="G130" s="24"/>
      <c r="H130" s="60">
        <f>F130*G130</f>
        <v>0</v>
      </c>
    </row>
    <row r="131" spans="1:8" s="241" customFormat="1" ht="13.7" hidden="1" customHeight="1" x14ac:dyDescent="0.25">
      <c r="A131" s="59"/>
      <c r="B131" s="59"/>
      <c r="C131" s="171" t="s">
        <v>12</v>
      </c>
      <c r="D131" s="171" t="str">
        <f>'Оборудование и материалы'!$A$91</f>
        <v>Провод СИП4 2х16 мм2</v>
      </c>
      <c r="E131" s="24" t="s">
        <v>8</v>
      </c>
      <c r="F131" s="60">
        <f>'Оборудование и материалы'!$D$91</f>
        <v>38.964228813559323</v>
      </c>
      <c r="G131" s="24">
        <f>G130*4</f>
        <v>0</v>
      </c>
      <c r="H131" s="60">
        <f>F131*G131</f>
        <v>0</v>
      </c>
    </row>
    <row r="132" spans="1:8" s="241" customFormat="1" ht="13.7" hidden="1" customHeight="1" x14ac:dyDescent="0.25">
      <c r="A132" s="59"/>
      <c r="B132" s="59"/>
      <c r="C132" s="171" t="s">
        <v>158</v>
      </c>
      <c r="D132" s="171" t="str">
        <f>'Оборудование и материалы'!$A$109</f>
        <v>Влагозащищенный прокалывающий зажим SLIP 12.1</v>
      </c>
      <c r="E132" s="24" t="s">
        <v>7</v>
      </c>
      <c r="F132" s="60">
        <f>'Оборудование и материалы'!$D$109</f>
        <v>200.90724456279662</v>
      </c>
      <c r="G132" s="24">
        <f>G130*2</f>
        <v>0</v>
      </c>
      <c r="H132" s="60">
        <f>F132*G132</f>
        <v>0</v>
      </c>
    </row>
    <row r="133" spans="1:8" s="241" customFormat="1" ht="13.7" hidden="1" customHeight="1" x14ac:dyDescent="0.25">
      <c r="A133" s="59"/>
      <c r="B133" s="59"/>
      <c r="C133" s="170"/>
      <c r="D133" s="169"/>
      <c r="E133" s="24"/>
      <c r="F133" s="60"/>
      <c r="G133" s="131"/>
      <c r="H133" s="132"/>
    </row>
    <row r="134" spans="1:8" s="241" customFormat="1" ht="13.7" hidden="1" customHeight="1" x14ac:dyDescent="0.25">
      <c r="A134" s="59"/>
      <c r="B134" s="59"/>
      <c r="C134" s="170"/>
      <c r="D134" s="168" t="s">
        <v>62</v>
      </c>
      <c r="E134" s="24"/>
      <c r="F134" s="60"/>
      <c r="G134" s="131"/>
      <c r="H134" s="60">
        <f>H130</f>
        <v>0</v>
      </c>
    </row>
    <row r="135" spans="1:8" s="241" customFormat="1" ht="13.7" hidden="1" customHeight="1" x14ac:dyDescent="0.25">
      <c r="A135" s="59"/>
      <c r="B135" s="59"/>
      <c r="C135" s="170"/>
      <c r="D135" s="168" t="s">
        <v>107</v>
      </c>
      <c r="E135" s="24"/>
      <c r="F135" s="60"/>
      <c r="G135" s="131"/>
      <c r="H135" s="60">
        <f>H131+H132</f>
        <v>0</v>
      </c>
    </row>
    <row r="136" spans="1:8" s="241" customFormat="1" ht="13.7" hidden="1" customHeight="1" x14ac:dyDescent="0.25">
      <c r="A136" s="59"/>
      <c r="B136" s="59"/>
      <c r="C136" s="170"/>
      <c r="D136" s="168" t="s">
        <v>131</v>
      </c>
      <c r="E136" s="24"/>
      <c r="F136" s="60"/>
      <c r="G136" s="131">
        <f>G129</f>
        <v>0</v>
      </c>
      <c r="H136" s="132">
        <f>G136*F136</f>
        <v>0</v>
      </c>
    </row>
    <row r="137" spans="1:8" s="241" customFormat="1" ht="13.7" hidden="1" customHeight="1" x14ac:dyDescent="0.25">
      <c r="A137" s="157"/>
      <c r="B137" s="157"/>
      <c r="C137" s="175" t="s">
        <v>203</v>
      </c>
      <c r="D137" s="173" t="s">
        <v>198</v>
      </c>
      <c r="E137" s="158"/>
      <c r="F137" s="159"/>
      <c r="G137" s="160"/>
      <c r="H137" s="161"/>
    </row>
    <row r="138" spans="1:8" s="241" customFormat="1" ht="51.95" hidden="1" customHeight="1" x14ac:dyDescent="0.25">
      <c r="A138" s="59"/>
      <c r="B138" s="59"/>
      <c r="C138" s="8" t="s">
        <v>6</v>
      </c>
      <c r="D138" s="171" t="str">
        <f>'Оборудование и материалы'!$A$58</f>
        <v>Однофазный прибор учета (8-тарифов, класс.точности (А/Р)- 1,0/2,0,  Uном -220(230) Iном (макс) 5-(100)А, встроенный приемо-передатчик RF, PLC, функция ретранслятора и радиомоста, RS-485, оптопорт, 3-дискретных выхода, 2-канала измерения, -40…+70 °С) или аналог.</v>
      </c>
      <c r="E138" s="24" t="s">
        <v>7</v>
      </c>
      <c r="F138" s="60">
        <f>'Оборудование и материалы'!$D$15</f>
        <v>3813.5593220338983</v>
      </c>
      <c r="G138" s="131"/>
      <c r="H138" s="60">
        <f>F138*G138</f>
        <v>0</v>
      </c>
    </row>
    <row r="139" spans="1:8" ht="13.7" hidden="1" customHeight="1" x14ac:dyDescent="0.25">
      <c r="A139" s="59"/>
      <c r="B139" s="59"/>
      <c r="C139" s="8"/>
      <c r="D139" s="15"/>
      <c r="E139" s="24"/>
      <c r="F139" s="60"/>
      <c r="G139" s="131"/>
      <c r="H139" s="132"/>
    </row>
    <row r="140" spans="1:8" ht="13.7" hidden="1" customHeight="1" x14ac:dyDescent="0.25">
      <c r="A140" s="59"/>
      <c r="B140" s="59"/>
      <c r="C140" s="8"/>
      <c r="D140" s="14" t="s">
        <v>62</v>
      </c>
      <c r="E140" s="24"/>
      <c r="F140" s="60"/>
      <c r="G140" s="131"/>
      <c r="H140" s="60">
        <f>H138</f>
        <v>0</v>
      </c>
    </row>
    <row r="141" spans="1:8" ht="13.7" hidden="1" customHeight="1" x14ac:dyDescent="0.25">
      <c r="A141" s="59"/>
      <c r="B141" s="59"/>
      <c r="C141" s="8"/>
      <c r="D141" s="15" t="s">
        <v>131</v>
      </c>
      <c r="E141" s="24"/>
      <c r="F141" s="60"/>
      <c r="G141" s="131">
        <f>G138</f>
        <v>0</v>
      </c>
      <c r="H141" s="132">
        <f>F141*G141</f>
        <v>0</v>
      </c>
    </row>
    <row r="142" spans="1:8" ht="13.7" customHeight="1" x14ac:dyDescent="0.25">
      <c r="A142" s="89"/>
      <c r="B142" s="89"/>
      <c r="C142" s="85" t="s">
        <v>238</v>
      </c>
      <c r="D142" s="90"/>
      <c r="E142" s="91"/>
      <c r="F142" s="92"/>
      <c r="G142" s="91"/>
      <c r="H142" s="92"/>
    </row>
    <row r="143" spans="1:8" ht="62.1" customHeight="1" x14ac:dyDescent="0.25">
      <c r="A143" s="59"/>
      <c r="B143" s="59"/>
      <c r="C143" s="1" t="s">
        <v>21</v>
      </c>
      <c r="D143" s="183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143" s="233" t="s">
        <v>7</v>
      </c>
      <c r="F143" s="60">
        <f>'Оборудование и материалы'!$D$17</f>
        <v>18389.830508474577</v>
      </c>
      <c r="G143" s="24">
        <v>21</v>
      </c>
      <c r="H143" s="60">
        <f t="shared" ref="H143:H152" si="6">F143*G143</f>
        <v>386186.44067796611</v>
      </c>
    </row>
    <row r="144" spans="1:8" ht="13.7" customHeight="1" x14ac:dyDescent="0.25">
      <c r="A144" s="59"/>
      <c r="B144" s="59"/>
      <c r="C144" s="3" t="s">
        <v>22</v>
      </c>
      <c r="D144" s="1" t="str">
        <f>'Оборудование и материалы'!$A$92</f>
        <v>Провод СИП4 4х25 мм2</v>
      </c>
      <c r="E144" s="233" t="s">
        <v>8</v>
      </c>
      <c r="F144" s="60">
        <f>'Оборудование и материалы'!$D$92</f>
        <v>112.3198220338983</v>
      </c>
      <c r="G144" s="24">
        <f>G143*25</f>
        <v>525</v>
      </c>
      <c r="H144" s="60">
        <f t="shared" si="6"/>
        <v>58967.906567796614</v>
      </c>
    </row>
    <row r="145" spans="1:8" ht="13.7" customHeight="1" x14ac:dyDescent="0.25">
      <c r="A145" s="59"/>
      <c r="B145" s="59"/>
      <c r="C145" s="21" t="s">
        <v>158</v>
      </c>
      <c r="D145" s="10" t="str">
        <f>'Оборудование и материалы'!$A$109</f>
        <v>Влагозащищенный прокалывающий зажим SLIP 12.1</v>
      </c>
      <c r="E145" s="233" t="s">
        <v>7</v>
      </c>
      <c r="F145" s="60">
        <f>'Оборудование и материалы'!$D$109</f>
        <v>200.90724456279662</v>
      </c>
      <c r="G145" s="24">
        <f>G143*4</f>
        <v>84</v>
      </c>
      <c r="H145" s="60">
        <f t="shared" si="6"/>
        <v>16876.208543274915</v>
      </c>
    </row>
    <row r="146" spans="1:8" ht="13.7" customHeight="1" x14ac:dyDescent="0.25">
      <c r="A146" s="59"/>
      <c r="B146" s="59"/>
      <c r="C146" s="21" t="s">
        <v>158</v>
      </c>
      <c r="D146" s="10" t="str">
        <f>'Оборудование и материалы'!A110</f>
        <v>Влагозащищенный прокалывающий зажим SLIP 12.127</v>
      </c>
      <c r="E146" s="233" t="s">
        <v>7</v>
      </c>
      <c r="F146" s="60">
        <f>'Оборудование и материалы'!D110</f>
        <v>208.23728813559322</v>
      </c>
      <c r="G146" s="24">
        <f>G143*4</f>
        <v>84</v>
      </c>
      <c r="H146" s="60">
        <f t="shared" si="6"/>
        <v>17491.932203389832</v>
      </c>
    </row>
    <row r="147" spans="1:8" ht="13.7" customHeight="1" x14ac:dyDescent="0.25">
      <c r="A147" s="59"/>
      <c r="B147" s="59"/>
      <c r="C147" s="2" t="s">
        <v>13</v>
      </c>
      <c r="D147" s="129" t="str">
        <f>'Оборудование и материалы'!$A$111</f>
        <v>Анкерный зажим SO158.1</v>
      </c>
      <c r="E147" s="233" t="s">
        <v>7</v>
      </c>
      <c r="F147" s="60">
        <f>'Оборудование и материалы'!$D$111</f>
        <v>153.5593220338983</v>
      </c>
      <c r="G147" s="24">
        <f>G143*2</f>
        <v>42</v>
      </c>
      <c r="H147" s="60">
        <f t="shared" si="6"/>
        <v>6449.4915254237285</v>
      </c>
    </row>
    <row r="148" spans="1:8" ht="13.7" customHeight="1" x14ac:dyDescent="0.25">
      <c r="A148" s="59"/>
      <c r="B148" s="59"/>
      <c r="C148" s="21" t="s">
        <v>115</v>
      </c>
      <c r="D148" s="129" t="str">
        <f>'Оборудование и материалы'!$A$112</f>
        <v>Анкерный кронштейн SO253</v>
      </c>
      <c r="E148" s="233" t="s">
        <v>7</v>
      </c>
      <c r="F148" s="60">
        <f>'Оборудование и материалы'!$D$112</f>
        <v>247.12711864406782</v>
      </c>
      <c r="G148" s="24">
        <f>G143*1</f>
        <v>21</v>
      </c>
      <c r="H148" s="60">
        <f t="shared" si="6"/>
        <v>5189.6694915254238</v>
      </c>
    </row>
    <row r="149" spans="1:8" ht="13.7" customHeight="1" x14ac:dyDescent="0.25">
      <c r="A149" s="59"/>
      <c r="B149" s="59"/>
      <c r="C149" s="4" t="s">
        <v>14</v>
      </c>
      <c r="D149" s="129" t="str">
        <f>'Оборудование и материалы'!$A$113</f>
        <v>Крюк-болт  (Анкерный крюк) SOT16.12</v>
      </c>
      <c r="E149" s="233" t="s">
        <v>7</v>
      </c>
      <c r="F149" s="60">
        <f>'Оборудование и материалы'!$D$113</f>
        <v>96.788135593220332</v>
      </c>
      <c r="G149" s="24">
        <f>G143*1</f>
        <v>21</v>
      </c>
      <c r="H149" s="60">
        <f t="shared" si="6"/>
        <v>2032.550847457627</v>
      </c>
    </row>
    <row r="150" spans="1:8" ht="13.7" customHeight="1" x14ac:dyDescent="0.25">
      <c r="A150" s="59"/>
      <c r="B150" s="59"/>
      <c r="C150" s="2" t="s">
        <v>15</v>
      </c>
      <c r="D150" s="129" t="str">
        <f>'Оборудование и материалы'!$A$114</f>
        <v>Монтажная стальная лента из нержавеющей стали  COT37</v>
      </c>
      <c r="E150" s="31" t="s">
        <v>8</v>
      </c>
      <c r="F150" s="60">
        <f>'Оборудование и материалы'!$D$114</f>
        <v>75.271186440677965</v>
      </c>
      <c r="G150" s="24">
        <f>G143*4</f>
        <v>84</v>
      </c>
      <c r="H150" s="60">
        <f t="shared" si="6"/>
        <v>6322.7796610169489</v>
      </c>
    </row>
    <row r="151" spans="1:8" ht="13.7" customHeight="1" x14ac:dyDescent="0.25">
      <c r="A151" s="59"/>
      <c r="B151" s="59"/>
      <c r="C151" s="2" t="s">
        <v>9</v>
      </c>
      <c r="D151" s="129" t="str">
        <f>'Оборудование и материалы'!$A$115</f>
        <v>Скрепа COT36</v>
      </c>
      <c r="E151" s="31" t="s">
        <v>7</v>
      </c>
      <c r="F151" s="60">
        <f>'Оборудование и материалы'!$D$115</f>
        <v>18.694915254237287</v>
      </c>
      <c r="G151" s="24">
        <f>G143*4</f>
        <v>84</v>
      </c>
      <c r="H151" s="60">
        <f t="shared" si="6"/>
        <v>1570.3728813559321</v>
      </c>
    </row>
    <row r="152" spans="1:8" ht="13.7" customHeight="1" x14ac:dyDescent="0.25">
      <c r="A152" s="59"/>
      <c r="B152" s="59"/>
      <c r="C152" s="2" t="s">
        <v>16</v>
      </c>
      <c r="D152" s="13" t="str">
        <f>'Оборудование и материалы'!$A$179</f>
        <v>Крепление кронштейна и кабеля анкерный болт, гайка, шайба, стяжка</v>
      </c>
      <c r="E152" s="24" t="s">
        <v>7</v>
      </c>
      <c r="F152" s="60">
        <f>'Оборудование и материалы'!$D$179</f>
        <v>508.47457627118649</v>
      </c>
      <c r="G152" s="24">
        <f>G143*1</f>
        <v>21</v>
      </c>
      <c r="H152" s="60">
        <f t="shared" si="6"/>
        <v>10677.966101694916</v>
      </c>
    </row>
    <row r="153" spans="1:8" ht="13.7" customHeight="1" x14ac:dyDescent="0.25">
      <c r="A153" s="59"/>
      <c r="B153" s="59"/>
      <c r="C153" s="8"/>
      <c r="D153" s="13"/>
      <c r="E153" s="24"/>
      <c r="F153" s="60"/>
      <c r="H153" s="60"/>
    </row>
    <row r="154" spans="1:8" ht="13.7" customHeight="1" x14ac:dyDescent="0.25">
      <c r="A154" s="59"/>
      <c r="B154" s="59"/>
      <c r="C154" s="8"/>
      <c r="D154" s="14" t="s">
        <v>62</v>
      </c>
      <c r="E154" s="24"/>
      <c r="F154" s="60"/>
      <c r="G154" s="24"/>
      <c r="H154" s="60">
        <f>SUM(H143:H143)</f>
        <v>386186.44067796611</v>
      </c>
    </row>
    <row r="155" spans="1:8" ht="13.7" customHeight="1" x14ac:dyDescent="0.25">
      <c r="A155" s="59"/>
      <c r="B155" s="59"/>
      <c r="C155" s="8"/>
      <c r="D155" s="117" t="s">
        <v>107</v>
      </c>
      <c r="E155" s="24"/>
      <c r="F155" s="60"/>
      <c r="G155" s="24"/>
      <c r="H155" s="60">
        <f>SUM(H144:H152)</f>
        <v>125578.87782293592</v>
      </c>
    </row>
    <row r="156" spans="1:8" ht="13.7" customHeight="1" x14ac:dyDescent="0.25">
      <c r="A156" s="59"/>
      <c r="B156" s="59"/>
      <c r="C156" s="8"/>
      <c r="D156" s="15" t="s">
        <v>131</v>
      </c>
      <c r="E156" s="24"/>
      <c r="F156" s="60"/>
      <c r="G156" s="131">
        <f>G143</f>
        <v>21</v>
      </c>
      <c r="H156" s="132">
        <f>F156*G156</f>
        <v>0</v>
      </c>
    </row>
    <row r="157" spans="1:8" ht="13.7" hidden="1" customHeight="1" x14ac:dyDescent="0.25">
      <c r="A157" s="89"/>
      <c r="B157" s="89"/>
      <c r="C157" s="85" t="s">
        <v>239</v>
      </c>
      <c r="D157" s="90"/>
      <c r="E157" s="91"/>
      <c r="F157" s="92"/>
      <c r="G157" s="91"/>
      <c r="H157" s="92"/>
    </row>
    <row r="158" spans="1:8" ht="62.1" hidden="1" customHeight="1" x14ac:dyDescent="0.25">
      <c r="A158" s="59"/>
      <c r="B158" s="59"/>
      <c r="C158" s="2" t="s">
        <v>21</v>
      </c>
      <c r="D158" s="10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158" s="233" t="s">
        <v>7</v>
      </c>
      <c r="F158" s="60">
        <f>'Оборудование и материалы'!$D$17</f>
        <v>18389.830508474577</v>
      </c>
      <c r="G158" s="24"/>
      <c r="H158" s="60">
        <f t="shared" ref="H158:H168" si="7">F158*G158</f>
        <v>0</v>
      </c>
    </row>
    <row r="159" spans="1:8" ht="13.7" hidden="1" customHeight="1" x14ac:dyDescent="0.25">
      <c r="A159" s="59"/>
      <c r="B159" s="59"/>
      <c r="C159" s="1" t="s">
        <v>22</v>
      </c>
      <c r="D159" s="1" t="str">
        <f>'Оборудование и материалы'!$A$92</f>
        <v>Провод СИП4 4х25 мм2</v>
      </c>
      <c r="E159" s="233" t="s">
        <v>8</v>
      </c>
      <c r="F159" s="60">
        <f>'Оборудование и материалы'!$D$92</f>
        <v>112.3198220338983</v>
      </c>
      <c r="G159" s="24">
        <f>G158*25</f>
        <v>0</v>
      </c>
      <c r="H159" s="60">
        <f t="shared" si="7"/>
        <v>0</v>
      </c>
    </row>
    <row r="160" spans="1:8" ht="13.7" hidden="1" customHeight="1" x14ac:dyDescent="0.25">
      <c r="A160" s="59"/>
      <c r="B160" s="59"/>
      <c r="C160" s="2" t="s">
        <v>69</v>
      </c>
      <c r="D160" s="10" t="str">
        <f>'Оборудование и материалы'!$A$94</f>
        <v xml:space="preserve">Кабель АВВГнг LS 4х25 мм2 </v>
      </c>
      <c r="E160" s="233" t="s">
        <v>8</v>
      </c>
      <c r="F160" s="60">
        <f>'Оборудование и материалы'!$D$94</f>
        <v>122.9491525423729</v>
      </c>
      <c r="G160" s="24">
        <f>G158*6</f>
        <v>0</v>
      </c>
      <c r="H160" s="60">
        <f t="shared" si="7"/>
        <v>0</v>
      </c>
    </row>
    <row r="161" spans="1:8" ht="13.7" hidden="1" customHeight="1" x14ac:dyDescent="0.25">
      <c r="A161" s="59"/>
      <c r="B161" s="59"/>
      <c r="C161" s="21" t="s">
        <v>158</v>
      </c>
      <c r="D161" s="10" t="str">
        <f>'Оборудование и материалы'!$A$109</f>
        <v>Влагозащищенный прокалывающий зажим SLIP 12.1</v>
      </c>
      <c r="E161" s="233" t="s">
        <v>7</v>
      </c>
      <c r="F161" s="60">
        <f>'Оборудование и материалы'!$D$109</f>
        <v>200.90724456279662</v>
      </c>
      <c r="G161" s="24">
        <f>G158*4</f>
        <v>0</v>
      </c>
      <c r="H161" s="60">
        <f t="shared" si="7"/>
        <v>0</v>
      </c>
    </row>
    <row r="162" spans="1:8" ht="13.7" hidden="1" customHeight="1" x14ac:dyDescent="0.25">
      <c r="A162" s="59"/>
      <c r="B162" s="59"/>
      <c r="C162" s="21" t="s">
        <v>158</v>
      </c>
      <c r="D162" s="10" t="str">
        <f>'Оборудование и материалы'!A110</f>
        <v>Влагозащищенный прокалывающий зажим SLIP 12.127</v>
      </c>
      <c r="E162" s="233" t="s">
        <v>7</v>
      </c>
      <c r="F162" s="60">
        <f>'Оборудование и материалы'!D110</f>
        <v>208.23728813559322</v>
      </c>
      <c r="G162" s="24">
        <f>G158*4</f>
        <v>0</v>
      </c>
      <c r="H162" s="60">
        <f t="shared" si="7"/>
        <v>0</v>
      </c>
    </row>
    <row r="163" spans="1:8" ht="13.7" hidden="1" customHeight="1" x14ac:dyDescent="0.25">
      <c r="A163" s="59"/>
      <c r="B163" s="59"/>
      <c r="C163" s="21" t="s">
        <v>13</v>
      </c>
      <c r="D163" s="129" t="str">
        <f>'Оборудование и материалы'!$A$111</f>
        <v>Анкерный зажим SO158.1</v>
      </c>
      <c r="E163" s="233" t="s">
        <v>7</v>
      </c>
      <c r="F163" s="60">
        <f>'Оборудование и материалы'!$D$111</f>
        <v>153.5593220338983</v>
      </c>
      <c r="G163" s="24">
        <f>G158*2</f>
        <v>0</v>
      </c>
      <c r="H163" s="60">
        <f t="shared" si="7"/>
        <v>0</v>
      </c>
    </row>
    <row r="164" spans="1:8" ht="13.7" hidden="1" customHeight="1" x14ac:dyDescent="0.25">
      <c r="A164" s="59"/>
      <c r="B164" s="59"/>
      <c r="C164" s="21" t="s">
        <v>115</v>
      </c>
      <c r="D164" s="129" t="str">
        <f>'Оборудование и материалы'!$A$112</f>
        <v>Анкерный кронштейн SO253</v>
      </c>
      <c r="E164" s="233" t="s">
        <v>7</v>
      </c>
      <c r="F164" s="60">
        <f>'Оборудование и материалы'!$D$112</f>
        <v>247.12711864406782</v>
      </c>
      <c r="G164" s="24">
        <f>G158*1</f>
        <v>0</v>
      </c>
      <c r="H164" s="60">
        <f t="shared" si="7"/>
        <v>0</v>
      </c>
    </row>
    <row r="165" spans="1:8" ht="13.7" hidden="1" customHeight="1" x14ac:dyDescent="0.25">
      <c r="A165" s="59"/>
      <c r="B165" s="59"/>
      <c r="C165" s="4" t="s">
        <v>14</v>
      </c>
      <c r="D165" s="129" t="str">
        <f>'Оборудование и материалы'!$A$113</f>
        <v>Крюк-болт  (Анкерный крюк) SOT16.12</v>
      </c>
      <c r="E165" s="233" t="s">
        <v>7</v>
      </c>
      <c r="F165" s="60">
        <f>'Оборудование и материалы'!$D$113</f>
        <v>96.788135593220332</v>
      </c>
      <c r="G165" s="24">
        <f>G158*1</f>
        <v>0</v>
      </c>
      <c r="H165" s="60">
        <f t="shared" si="7"/>
        <v>0</v>
      </c>
    </row>
    <row r="166" spans="1:8" ht="13.7" hidden="1" customHeight="1" x14ac:dyDescent="0.25">
      <c r="A166" s="59"/>
      <c r="B166" s="59"/>
      <c r="C166" s="4" t="s">
        <v>15</v>
      </c>
      <c r="D166" s="129" t="str">
        <f>'Оборудование и материалы'!$A$114</f>
        <v>Монтажная стальная лента из нержавеющей стали  COT37</v>
      </c>
      <c r="E166" s="233" t="s">
        <v>8</v>
      </c>
      <c r="F166" s="60">
        <f>'Оборудование и материалы'!$D$114</f>
        <v>75.271186440677965</v>
      </c>
      <c r="G166" s="24">
        <f>G158*4</f>
        <v>0</v>
      </c>
      <c r="H166" s="60">
        <f t="shared" si="7"/>
        <v>0</v>
      </c>
    </row>
    <row r="167" spans="1:8" ht="13.7" hidden="1" customHeight="1" x14ac:dyDescent="0.25">
      <c r="A167" s="59"/>
      <c r="B167" s="59"/>
      <c r="C167" s="2" t="s">
        <v>9</v>
      </c>
      <c r="D167" s="129" t="str">
        <f>'Оборудование и материалы'!$A$115</f>
        <v>Скрепа COT36</v>
      </c>
      <c r="E167" s="233" t="s">
        <v>7</v>
      </c>
      <c r="F167" s="60">
        <f>'Оборудование и материалы'!$D$115</f>
        <v>18.694915254237287</v>
      </c>
      <c r="G167" s="24">
        <f>G158*4</f>
        <v>0</v>
      </c>
      <c r="H167" s="60">
        <f t="shared" si="7"/>
        <v>0</v>
      </c>
    </row>
    <row r="168" spans="1:8" ht="13.7" hidden="1" customHeight="1" x14ac:dyDescent="0.25">
      <c r="A168" s="59"/>
      <c r="B168" s="59"/>
      <c r="C168" s="2" t="s">
        <v>16</v>
      </c>
      <c r="D168" s="8" t="str">
        <f>'Оборудование и материалы'!$A$179</f>
        <v>Крепление кронштейна и кабеля анкерный болт, гайка, шайба, стяжка</v>
      </c>
      <c r="E168" s="24" t="s">
        <v>7</v>
      </c>
      <c r="F168" s="60">
        <f>'Оборудование и материалы'!$D$179</f>
        <v>508.47457627118649</v>
      </c>
      <c r="G168" s="24">
        <f>G158*1</f>
        <v>0</v>
      </c>
      <c r="H168" s="60">
        <f t="shared" si="7"/>
        <v>0</v>
      </c>
    </row>
    <row r="169" spans="1:8" ht="13.7" hidden="1" customHeight="1" x14ac:dyDescent="0.25">
      <c r="A169" s="59"/>
      <c r="B169" s="59"/>
      <c r="C169" s="8"/>
      <c r="D169" s="13"/>
      <c r="E169" s="24"/>
      <c r="F169" s="60"/>
      <c r="G169" s="24"/>
      <c r="H169" s="60"/>
    </row>
    <row r="170" spans="1:8" ht="13.7" hidden="1" customHeight="1" x14ac:dyDescent="0.25">
      <c r="A170" s="59"/>
      <c r="B170" s="59"/>
      <c r="C170" s="8"/>
      <c r="D170" s="14" t="s">
        <v>62</v>
      </c>
      <c r="E170" s="24"/>
      <c r="F170" s="60"/>
      <c r="G170" s="24"/>
      <c r="H170" s="60">
        <f>SUM(H158:H158)</f>
        <v>0</v>
      </c>
    </row>
    <row r="171" spans="1:8" ht="13.7" hidden="1" customHeight="1" x14ac:dyDescent="0.25">
      <c r="A171" s="59"/>
      <c r="B171" s="59"/>
      <c r="C171" s="8"/>
      <c r="D171" s="117" t="s">
        <v>107</v>
      </c>
      <c r="E171" s="24"/>
      <c r="F171" s="60"/>
      <c r="G171" s="24"/>
      <c r="H171" s="60">
        <f>SUM(H159:H168)</f>
        <v>0</v>
      </c>
    </row>
    <row r="172" spans="1:8" ht="13.7" hidden="1" customHeight="1" x14ac:dyDescent="0.25">
      <c r="A172" s="59"/>
      <c r="B172" s="59"/>
      <c r="C172" s="8"/>
      <c r="D172" s="15" t="s">
        <v>131</v>
      </c>
      <c r="E172" s="24"/>
      <c r="F172" s="60"/>
      <c r="G172" s="131">
        <f>G158</f>
        <v>0</v>
      </c>
      <c r="H172" s="132">
        <f>F172*G172</f>
        <v>0</v>
      </c>
    </row>
    <row r="173" spans="1:8" ht="13.7" hidden="1" customHeight="1" x14ac:dyDescent="0.25">
      <c r="A173" s="89"/>
      <c r="B173" s="89"/>
      <c r="C173" s="180" t="s">
        <v>240</v>
      </c>
      <c r="D173" s="173" t="s">
        <v>198</v>
      </c>
      <c r="E173" s="91"/>
      <c r="F173" s="92"/>
      <c r="G173" s="91"/>
      <c r="H173" s="92"/>
    </row>
    <row r="174" spans="1:8" ht="62.1" hidden="1" customHeight="1" x14ac:dyDescent="0.25">
      <c r="A174" s="59"/>
      <c r="B174" s="59"/>
      <c r="C174" s="8" t="s">
        <v>147</v>
      </c>
      <c r="D174" s="236" t="str">
        <f>'Оборудование и материалы'!$A$61</f>
        <v>Трехфазный счетчик прямого включения активно-реактивный, (8-тарифов, класс.точности (А/Р)- 1,0/2,0, Uном 3х220(230)/380(400) Iном (макс) 5-(80)А, встроенный приемо-передатчик RF, PLC, функция ретранслятора и радиомоста, оптопорт, 2RS-485, с устройством коммутации нагрузки, (открытый протокол DLMS/COSEM), 2-дискретных входа, 2-дискретных выхода, -40...+70 °С)  или аналог.</v>
      </c>
      <c r="E174" s="24"/>
      <c r="F174" s="60">
        <f>'Оборудование и материалы'!$D$21</f>
        <v>6779.6610169491532</v>
      </c>
      <c r="G174" s="24"/>
      <c r="H174" s="60">
        <f>F174*G174</f>
        <v>0</v>
      </c>
    </row>
    <row r="175" spans="1:8" ht="13.7" hidden="1" customHeight="1" x14ac:dyDescent="0.25">
      <c r="A175" s="59"/>
      <c r="B175" s="59"/>
      <c r="C175" s="8"/>
      <c r="D175" s="15"/>
      <c r="E175" s="24"/>
      <c r="F175" s="60"/>
      <c r="G175" s="24"/>
      <c r="H175" s="60"/>
    </row>
    <row r="176" spans="1:8" ht="13.7" hidden="1" customHeight="1" x14ac:dyDescent="0.25">
      <c r="A176" s="59"/>
      <c r="B176" s="59"/>
      <c r="C176" s="8"/>
      <c r="D176" s="14" t="s">
        <v>62</v>
      </c>
      <c r="E176" s="24"/>
      <c r="F176" s="60"/>
      <c r="G176" s="24"/>
      <c r="H176" s="60">
        <f>H174</f>
        <v>0</v>
      </c>
    </row>
    <row r="177" spans="1:8" ht="13.7" hidden="1" customHeight="1" x14ac:dyDescent="0.25">
      <c r="A177" s="59"/>
      <c r="B177" s="59"/>
      <c r="C177" s="8"/>
      <c r="D177" s="15" t="s">
        <v>131</v>
      </c>
      <c r="E177" s="24"/>
      <c r="F177" s="60"/>
      <c r="G177" s="131">
        <f>G174</f>
        <v>0</v>
      </c>
      <c r="H177" s="132">
        <f>F177*G177</f>
        <v>0</v>
      </c>
    </row>
    <row r="178" spans="1:8" ht="13.7" hidden="1" customHeight="1" x14ac:dyDescent="0.25">
      <c r="A178" s="59"/>
      <c r="B178" s="59"/>
      <c r="C178" s="8"/>
      <c r="D178" s="15"/>
      <c r="E178" s="24"/>
      <c r="F178" s="60"/>
      <c r="G178" s="131"/>
      <c r="H178" s="132"/>
    </row>
    <row r="179" spans="1:8" ht="13.7" hidden="1" customHeight="1" x14ac:dyDescent="0.25">
      <c r="A179" s="59"/>
      <c r="B179" s="59"/>
      <c r="C179" s="8"/>
      <c r="D179" s="15"/>
      <c r="E179" s="24"/>
      <c r="F179" s="60"/>
      <c r="G179" s="131"/>
      <c r="H179" s="132"/>
    </row>
    <row r="180" spans="1:8" ht="13.7" customHeight="1" x14ac:dyDescent="0.25">
      <c r="A180" s="54"/>
      <c r="B180" s="54"/>
      <c r="C180" s="184" t="s">
        <v>241</v>
      </c>
      <c r="D180" s="61"/>
      <c r="E180" s="62"/>
      <c r="F180" s="63"/>
      <c r="G180" s="62"/>
      <c r="H180" s="63"/>
    </row>
    <row r="181" spans="1:8" ht="62.1" customHeight="1" x14ac:dyDescent="0.25">
      <c r="A181" s="52"/>
      <c r="B181" s="52"/>
      <c r="C181" s="19" t="s">
        <v>28</v>
      </c>
      <c r="D181" s="183" t="str">
        <f>'Оборудование и материалы'!$A$62</f>
        <v>Трехфазный счетчик полукосвенного включения активно-реактивный, (8-тарифов, класс.точности (А/Р)- 0,5S/1,0, Uном 3х220(230)/380(400) Iном (макс)  5-(7,5)А,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</v>
      </c>
      <c r="E181" s="233" t="s">
        <v>7</v>
      </c>
      <c r="F181" s="64">
        <f>'Оборудование и материалы'!$D$20</f>
        <v>5932.203389830509</v>
      </c>
      <c r="G181" s="31">
        <v>30</v>
      </c>
      <c r="H181" s="64">
        <f>F181*G181</f>
        <v>177966.10169491527</v>
      </c>
    </row>
    <row r="182" spans="1:8" ht="13.7" customHeight="1" x14ac:dyDescent="0.25">
      <c r="A182" s="52"/>
      <c r="B182" s="52"/>
      <c r="C182" s="19" t="s">
        <v>25</v>
      </c>
      <c r="D182" s="1" t="str">
        <f>'Оборудование и материалы'!$A$143</f>
        <v>Испытательная коробка (КИ10, ИКК)</v>
      </c>
      <c r="E182" s="233" t="s">
        <v>7</v>
      </c>
      <c r="F182" s="64">
        <f>'Оборудование и материалы'!$D$143</f>
        <v>498.9830508474576</v>
      </c>
      <c r="G182" s="31">
        <f>G181</f>
        <v>30</v>
      </c>
      <c r="H182" s="64">
        <f>F182*G182</f>
        <v>14969.491525423728</v>
      </c>
    </row>
    <row r="183" spans="1:8" ht="13.7" customHeight="1" x14ac:dyDescent="0.25">
      <c r="A183" s="52"/>
      <c r="B183" s="52"/>
      <c r="C183" s="19"/>
      <c r="D183" s="14"/>
      <c r="E183" s="233"/>
      <c r="F183" s="53"/>
      <c r="G183" s="233"/>
      <c r="H183" s="64"/>
    </row>
    <row r="184" spans="1:8" ht="13.7" customHeight="1" x14ac:dyDescent="0.25">
      <c r="A184" s="52"/>
      <c r="B184" s="52"/>
      <c r="C184" s="19"/>
      <c r="D184" s="14" t="s">
        <v>62</v>
      </c>
      <c r="E184" s="233"/>
      <c r="F184" s="53"/>
      <c r="G184" s="233"/>
      <c r="H184" s="64">
        <f>H181</f>
        <v>177966.10169491527</v>
      </c>
    </row>
    <row r="185" spans="1:8" ht="13.7" customHeight="1" x14ac:dyDescent="0.25">
      <c r="A185" s="52"/>
      <c r="B185" s="52"/>
      <c r="C185" s="19"/>
      <c r="D185" s="117" t="s">
        <v>107</v>
      </c>
      <c r="E185" s="233"/>
      <c r="F185" s="53"/>
      <c r="G185" s="233"/>
      <c r="H185" s="53">
        <f>H182</f>
        <v>14969.491525423728</v>
      </c>
    </row>
    <row r="186" spans="1:8" ht="13.7" customHeight="1" x14ac:dyDescent="0.25">
      <c r="A186" s="52"/>
      <c r="B186" s="52"/>
      <c r="C186" s="19"/>
      <c r="D186" s="15" t="s">
        <v>131</v>
      </c>
      <c r="E186" s="233"/>
      <c r="F186" s="64"/>
      <c r="G186" s="134">
        <f>G181</f>
        <v>30</v>
      </c>
      <c r="H186" s="87">
        <f>F186*G186</f>
        <v>0</v>
      </c>
    </row>
    <row r="187" spans="1:8" ht="13.7" customHeight="1" x14ac:dyDescent="0.25">
      <c r="A187" s="65"/>
      <c r="B187" s="65"/>
      <c r="C187" s="69" t="s">
        <v>29</v>
      </c>
      <c r="D187" s="66"/>
      <c r="E187" s="67"/>
      <c r="F187" s="68"/>
      <c r="G187" s="67"/>
      <c r="H187" s="68"/>
    </row>
    <row r="188" spans="1:8" ht="13.7" customHeight="1" x14ac:dyDescent="0.25">
      <c r="A188" s="54"/>
      <c r="B188" s="54"/>
      <c r="C188" s="70" t="s">
        <v>30</v>
      </c>
      <c r="D188" s="17"/>
      <c r="E188" s="62"/>
      <c r="F188" s="63"/>
      <c r="G188" s="62"/>
      <c r="H188" s="63"/>
    </row>
    <row r="189" spans="1:8" ht="62.1" hidden="1" customHeight="1" x14ac:dyDescent="0.25">
      <c r="A189" s="58"/>
      <c r="B189" s="58"/>
      <c r="C189" s="2" t="s">
        <v>147</v>
      </c>
      <c r="D189" s="6" t="str">
        <f>'Оборудование и материалы'!$A$63</f>
        <v xml:space="preserve"> Трехфазный счетчик прямого включения активно-реактивный, (8-тарифов, класс.точности (А/Р)- 1,0/2,0, Uном 3х220(230)/380(400) Iном (макс)  5-(100)А 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 </v>
      </c>
      <c r="E189" s="233" t="s">
        <v>7</v>
      </c>
      <c r="F189" s="64">
        <f>'Оборудование и материалы'!$D$19</f>
        <v>4661.016949152543</v>
      </c>
      <c r="G189" s="31"/>
      <c r="H189" s="53">
        <f t="shared" ref="H189:H229" si="8">F189*G189</f>
        <v>0</v>
      </c>
    </row>
    <row r="190" spans="1:8" ht="62.1" customHeight="1" x14ac:dyDescent="0.25">
      <c r="A190" s="52"/>
      <c r="B190" s="52"/>
      <c r="C190" s="7" t="s">
        <v>24</v>
      </c>
      <c r="D190" s="183" t="str">
        <f>'Оборудование и материалы'!$A$62</f>
        <v>Трехфазный счетчик полукосвенного включения активно-реактивный, (8-тарифов, класс.точности (А/Р)- 0,5S/1,0, Uном 3х220(230)/380(400) Iном (макс)  5-(7,5)А,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</v>
      </c>
      <c r="E190" s="233" t="s">
        <v>7</v>
      </c>
      <c r="F190" s="53">
        <f>'Оборудование и материалы'!$D$18</f>
        <v>5211.8644067796613</v>
      </c>
      <c r="G190" s="31">
        <v>11</v>
      </c>
      <c r="H190" s="53">
        <f t="shared" si="8"/>
        <v>57330.508474576272</v>
      </c>
    </row>
    <row r="191" spans="1:8" ht="13.7" customHeight="1" x14ac:dyDescent="0.25">
      <c r="A191" s="52"/>
      <c r="B191" s="52"/>
      <c r="C191" s="7" t="s">
        <v>119</v>
      </c>
      <c r="D191" s="9" t="str">
        <f>'Оборудование и материалы'!$A$78</f>
        <v xml:space="preserve">УСПД (GSM/GPRS), (в комплекте с защитным устройством: трехфазный автоматический выключатель ВА 47-63 3п 6А С -1 шт., ОИН-3 шт. на Din-рейку) </v>
      </c>
      <c r="E191" s="233" t="s">
        <v>7</v>
      </c>
      <c r="F191" s="53">
        <f>'Оборудование и материалы'!$D$88</f>
        <v>67840</v>
      </c>
      <c r="G191" s="233">
        <v>9</v>
      </c>
      <c r="H191" s="53">
        <f t="shared" si="8"/>
        <v>610560</v>
      </c>
    </row>
    <row r="192" spans="1:8" ht="30" customHeight="1" x14ac:dyDescent="0.25">
      <c r="A192" s="52"/>
      <c r="B192" s="52"/>
      <c r="C192" s="7" t="s">
        <v>170</v>
      </c>
      <c r="D192" s="9" t="str">
        <f>'Оборудование и материалы'!$A$145</f>
        <v>Антенна GSM ANT-996 A  (антенна с врезным креплением на металлическом рефлекторе-кронштейне 330-330 мм. провод RG-58A/U 5м)
GSM   900/1800 МГц вандалозащищенная антенна для помещений с низким уровнем сигнала.</v>
      </c>
      <c r="E192" s="233" t="s">
        <v>7</v>
      </c>
      <c r="F192" s="53">
        <f>'Оборудование и материалы'!D145</f>
        <v>1432.2033898305085</v>
      </c>
      <c r="G192" s="233">
        <f>G191*1</f>
        <v>9</v>
      </c>
      <c r="H192" s="53">
        <f t="shared" si="8"/>
        <v>12889.830508474577</v>
      </c>
    </row>
    <row r="193" spans="1:8" ht="30" x14ac:dyDescent="0.25">
      <c r="A193" s="52"/>
      <c r="B193" s="52"/>
      <c r="C193" s="7" t="s">
        <v>58</v>
      </c>
      <c r="D193" s="9" t="str">
        <f>'Оборудование и материалы'!$A$158</f>
        <v xml:space="preserve">ВА47-29-1В 6,3А </v>
      </c>
      <c r="E193" s="233" t="s">
        <v>7</v>
      </c>
      <c r="F193" s="53">
        <f>'Оборудование и материалы'!D158</f>
        <v>65.381355932203391</v>
      </c>
      <c r="G193" s="233">
        <f>G194*2</f>
        <v>18</v>
      </c>
      <c r="H193" s="53">
        <f t="shared" si="8"/>
        <v>1176.8644067796611</v>
      </c>
    </row>
    <row r="194" spans="1:8" ht="13.7" customHeight="1" x14ac:dyDescent="0.25">
      <c r="A194" s="52"/>
      <c r="B194" s="52"/>
      <c r="C194" s="7" t="s">
        <v>33</v>
      </c>
      <c r="D194" s="9" t="str">
        <f>'Оборудование и материалы'!$A$166</f>
        <v xml:space="preserve">Шкаф ТП  1,2 мм  (Согласно опросного листа) </v>
      </c>
      <c r="E194" s="233" t="s">
        <v>7</v>
      </c>
      <c r="F194" s="53">
        <f>'Оборудование и материалы'!D166</f>
        <v>19918.000000000004</v>
      </c>
      <c r="G194" s="233">
        <f>G191</f>
        <v>9</v>
      </c>
      <c r="H194" s="53">
        <f t="shared" si="8"/>
        <v>179262.00000000003</v>
      </c>
    </row>
    <row r="195" spans="1:8" ht="13.7" customHeight="1" x14ac:dyDescent="0.25">
      <c r="A195" s="52"/>
      <c r="B195" s="52"/>
      <c r="C195" s="7" t="s">
        <v>47</v>
      </c>
      <c r="D195" s="9" t="str">
        <f>'Оборудование и материалы'!$A$140</f>
        <v>Обогреватель Click 100 Вт IP20, крепление на DIN-рейку EKF PROxima + Термостат 10 А NC EKF PROxima</v>
      </c>
      <c r="E195" s="233" t="s">
        <v>7</v>
      </c>
      <c r="F195" s="64">
        <f>'Оборудование и материалы'!$D$140</f>
        <v>4385.4491525423728</v>
      </c>
      <c r="G195" s="233">
        <f>G194*1</f>
        <v>9</v>
      </c>
      <c r="H195" s="53">
        <f t="shared" si="8"/>
        <v>39469.042372881355</v>
      </c>
    </row>
    <row r="196" spans="1:8" ht="13.7" customHeight="1" x14ac:dyDescent="0.25">
      <c r="A196" s="52"/>
      <c r="B196" s="52"/>
      <c r="C196" s="7" t="s">
        <v>34</v>
      </c>
      <c r="D196" s="9" t="str">
        <f>'Оборудование и материалы'!$A$118</f>
        <v>Трансформаторы тока 100/5, кл. 0,5S  У3 (Т-0,66-1-0,5S-5ВА-100/5 У3)</v>
      </c>
      <c r="E196" s="233" t="s">
        <v>7</v>
      </c>
      <c r="F196" s="64">
        <f>'Оборудование и материалы'!$D$118</f>
        <v>451.98305084745766</v>
      </c>
      <c r="G196" s="233">
        <v>3</v>
      </c>
      <c r="H196" s="53">
        <f t="shared" si="8"/>
        <v>1355.949152542373</v>
      </c>
    </row>
    <row r="197" spans="1:8" ht="13.7" customHeight="1" x14ac:dyDescent="0.25">
      <c r="A197" s="52"/>
      <c r="B197" s="52"/>
      <c r="C197" s="7" t="s">
        <v>35</v>
      </c>
      <c r="D197" s="9" t="str">
        <f>'Оборудование и материалы'!$A$119</f>
        <v>Трансформаторы тока 150/5, кл. 0,5S  У3 (Т-0,66-1-0,5S-5ВА-150/5 У3)</v>
      </c>
      <c r="E197" s="233" t="s">
        <v>7</v>
      </c>
      <c r="F197" s="64">
        <f>'Оборудование и материалы'!$D$119</f>
        <v>535.98305084745766</v>
      </c>
      <c r="G197" s="233">
        <v>15</v>
      </c>
      <c r="H197" s="53">
        <f t="shared" si="8"/>
        <v>8039.7457627118647</v>
      </c>
    </row>
    <row r="198" spans="1:8" ht="13.7" customHeight="1" x14ac:dyDescent="0.25">
      <c r="A198" s="52"/>
      <c r="B198" s="52"/>
      <c r="C198" s="7" t="s">
        <v>36</v>
      </c>
      <c r="D198" s="9" t="str">
        <f>'Оборудование и материалы'!$A$120</f>
        <v>Трансформаторы тока 200/5, кл. 0,5S  У3 (Т-0,66-1-0,5S-5ВА-200/5 У3)</v>
      </c>
      <c r="E198" s="233" t="s">
        <v>7</v>
      </c>
      <c r="F198" s="64">
        <f>'Оборудование и материалы'!$D$120</f>
        <v>535.98305084745766</v>
      </c>
      <c r="G198" s="233">
        <v>12</v>
      </c>
      <c r="H198" s="53">
        <f t="shared" si="8"/>
        <v>6431.7966101694919</v>
      </c>
    </row>
    <row r="199" spans="1:8" ht="13.7" customHeight="1" x14ac:dyDescent="0.25">
      <c r="A199" s="52"/>
      <c r="B199" s="52"/>
      <c r="C199" s="7" t="s">
        <v>37</v>
      </c>
      <c r="D199" s="9" t="str">
        <f>'Оборудование и материалы'!$A$121</f>
        <v>Трансформаторы тока 300/5, кл. 0,5S  У3 (Т-0,66-2-0,5S-5ВА-300/5 У3)</v>
      </c>
      <c r="E199" s="233" t="s">
        <v>7</v>
      </c>
      <c r="F199" s="64">
        <f>'Оборудование и материалы'!$D$121</f>
        <v>535.98305084745766</v>
      </c>
      <c r="G199" s="233">
        <v>0</v>
      </c>
      <c r="H199" s="53">
        <f t="shared" si="8"/>
        <v>0</v>
      </c>
    </row>
    <row r="200" spans="1:8" ht="13.7" customHeight="1" x14ac:dyDescent="0.25">
      <c r="A200" s="52"/>
      <c r="B200" s="52"/>
      <c r="C200" s="7" t="s">
        <v>38</v>
      </c>
      <c r="D200" s="9" t="str">
        <f>'Оборудование и материалы'!$A$122</f>
        <v>Трансформаторы тока 400/5, кл. 0,5S  У3 (Т-0,66-2-0,5S-5ВА-400/5 У3)</v>
      </c>
      <c r="E200" s="233" t="s">
        <v>7</v>
      </c>
      <c r="F200" s="64">
        <f>'Оборудование и материалы'!$D$122</f>
        <v>535.98305084745766</v>
      </c>
      <c r="G200" s="233">
        <v>3</v>
      </c>
      <c r="H200" s="53">
        <f t="shared" si="8"/>
        <v>1607.949152542373</v>
      </c>
    </row>
    <row r="201" spans="1:8" ht="13.7" customHeight="1" x14ac:dyDescent="0.25">
      <c r="A201" s="52"/>
      <c r="B201" s="52"/>
      <c r="C201" s="7" t="s">
        <v>39</v>
      </c>
      <c r="D201" s="9" t="str">
        <f>'Оборудование и материалы'!$A$123</f>
        <v>Трансформаторы тока 600/5, кл. 0,5S  У3 (Т-0,66-3-0,5S-5ВА-600/5 У3)</v>
      </c>
      <c r="E201" s="233" t="s">
        <v>7</v>
      </c>
      <c r="F201" s="64">
        <f>'Оборудование и материалы'!$D$123</f>
        <v>535.98305084745766</v>
      </c>
      <c r="G201" s="233">
        <v>0</v>
      </c>
      <c r="H201" s="53">
        <f t="shared" si="8"/>
        <v>0</v>
      </c>
    </row>
    <row r="202" spans="1:8" ht="13.7" customHeight="1" x14ac:dyDescent="0.25">
      <c r="A202" s="52"/>
      <c r="B202" s="52"/>
      <c r="C202" s="7" t="s">
        <v>40</v>
      </c>
      <c r="D202" s="9" t="str">
        <f>'Оборудование и материалы'!$A$124</f>
        <v>Трансформаторы тока 800/5, кл. 0,5S  У3 (ТШП-0,66 800/5 0,5 S)</v>
      </c>
      <c r="E202" s="233" t="s">
        <v>7</v>
      </c>
      <c r="F202" s="64">
        <f>'Оборудование и материалы'!$D$124</f>
        <v>1815.6355932203389</v>
      </c>
      <c r="G202" s="233">
        <v>0</v>
      </c>
      <c r="H202" s="53">
        <f t="shared" si="8"/>
        <v>0</v>
      </c>
    </row>
    <row r="203" spans="1:8" ht="13.7" customHeight="1" x14ac:dyDescent="0.25">
      <c r="A203" s="52"/>
      <c r="B203" s="52"/>
      <c r="C203" s="7" t="s">
        <v>137</v>
      </c>
      <c r="D203" s="9" t="str">
        <f>'Оборудование и материалы'!$A$125</f>
        <v>Трансформаторы тока 1000/5, кл. 0,5S  У3 (ТШП-0,66-10-0,5S-1000/5 У3)</v>
      </c>
      <c r="E203" s="233" t="s">
        <v>7</v>
      </c>
      <c r="F203" s="64">
        <f>'Оборудование и материалы'!$D$125</f>
        <v>1725</v>
      </c>
      <c r="G203" s="233">
        <v>0</v>
      </c>
      <c r="H203" s="53">
        <f t="shared" si="8"/>
        <v>0</v>
      </c>
    </row>
    <row r="204" spans="1:8" ht="13.7" customHeight="1" x14ac:dyDescent="0.25">
      <c r="A204" s="52"/>
      <c r="B204" s="52"/>
      <c r="C204" s="7" t="s">
        <v>138</v>
      </c>
      <c r="D204" s="9" t="str">
        <f>'Оборудование и материалы'!$A$126</f>
        <v>Трансформаторы тока 1200/5, кл. 0,5S  У3 (Т-0,66-М У3  1200/5  0,5S)</v>
      </c>
      <c r="E204" s="233" t="s">
        <v>7</v>
      </c>
      <c r="F204" s="64">
        <f>'Оборудование и материалы'!$D$126</f>
        <v>575.66101694915255</v>
      </c>
      <c r="G204" s="233">
        <v>0</v>
      </c>
      <c r="H204" s="53">
        <f t="shared" si="8"/>
        <v>0</v>
      </c>
    </row>
    <row r="205" spans="1:8" ht="13.7" customHeight="1" x14ac:dyDescent="0.25">
      <c r="A205" s="52"/>
      <c r="B205" s="52"/>
      <c r="C205" s="7" t="s">
        <v>41</v>
      </c>
      <c r="D205" s="9" t="str">
        <f>'Оборудование и материалы'!$A$127</f>
        <v>Трансформаторы тока 1500/5, кл. 0,5S  У3 (ТШП-0,66-10-0,5S-1500/5 У3)</v>
      </c>
      <c r="E205" s="233" t="s">
        <v>7</v>
      </c>
      <c r="F205" s="64">
        <f>'Оборудование и материалы'!$D$127</f>
        <v>1556.8474576271187</v>
      </c>
      <c r="G205" s="233">
        <v>0</v>
      </c>
      <c r="H205" s="53">
        <f t="shared" si="8"/>
        <v>0</v>
      </c>
    </row>
    <row r="206" spans="1:8" ht="13.7" customHeight="1" x14ac:dyDescent="0.25">
      <c r="A206" s="52"/>
      <c r="B206" s="52"/>
      <c r="C206" s="7" t="s">
        <v>148</v>
      </c>
      <c r="D206" s="9" t="str">
        <f>'Оборудование и материалы'!$A$128</f>
        <v>Трансформаторы тока 2000/5, кл. 0,5S  У3 (Т-0,66 М 2000/5 0,5S)</v>
      </c>
      <c r="E206" s="233" t="s">
        <v>7</v>
      </c>
      <c r="F206" s="64">
        <f>'Оборудование и материалы'!$D$128</f>
        <v>765.60169491525426</v>
      </c>
      <c r="G206" s="233">
        <v>0</v>
      </c>
      <c r="H206" s="53">
        <f t="shared" si="8"/>
        <v>0</v>
      </c>
    </row>
    <row r="207" spans="1:8" ht="13.7" customHeight="1" x14ac:dyDescent="0.25">
      <c r="A207" s="52"/>
      <c r="B207" s="52"/>
      <c r="C207" s="7" t="s">
        <v>113</v>
      </c>
      <c r="D207" s="9" t="str">
        <f>'Оборудование и материалы'!$A$103</f>
        <v>ВВГнг (АВВГнг) сечением от 25 мм2 до 150 мм2</v>
      </c>
      <c r="E207" s="233" t="s">
        <v>8</v>
      </c>
      <c r="F207" s="64">
        <f>'Оборудование и материалы'!D103</f>
        <v>525.42372881355936</v>
      </c>
      <c r="G207" s="233">
        <f>SUM(G196:G199)*3</f>
        <v>90</v>
      </c>
      <c r="H207" s="53">
        <f t="shared" si="8"/>
        <v>47288.135593220344</v>
      </c>
    </row>
    <row r="208" spans="1:8" ht="13.7" customHeight="1" x14ac:dyDescent="0.25">
      <c r="A208" s="52"/>
      <c r="B208" s="52"/>
      <c r="C208" s="7" t="s">
        <v>113</v>
      </c>
      <c r="D208" s="9" t="str">
        <f>'Оборудование и материалы'!$A$94</f>
        <v xml:space="preserve">Кабель АВВГнг LS 4х25 мм2 </v>
      </c>
      <c r="E208" s="233" t="s">
        <v>8</v>
      </c>
      <c r="F208" s="64">
        <f>'Оборудование и материалы'!$D$94</f>
        <v>122.9491525423729</v>
      </c>
      <c r="G208" s="233">
        <f>G189*8</f>
        <v>0</v>
      </c>
      <c r="H208" s="53">
        <f t="shared" si="8"/>
        <v>0</v>
      </c>
    </row>
    <row r="209" spans="1:8" ht="13.7" customHeight="1" x14ac:dyDescent="0.25">
      <c r="A209" s="52"/>
      <c r="B209" s="52"/>
      <c r="C209" s="7" t="s">
        <v>171</v>
      </c>
      <c r="D209" s="9" t="str">
        <f>'Оборудование и материалы'!$A$98</f>
        <v>Кабель ВВГнг-LS 3*2,5</v>
      </c>
      <c r="E209" s="31" t="s">
        <v>8</v>
      </c>
      <c r="F209" s="64">
        <f>'Оборудование и материалы'!D98</f>
        <v>62.474576271186443</v>
      </c>
      <c r="G209" s="31">
        <v>0</v>
      </c>
      <c r="H209" s="64">
        <f t="shared" si="8"/>
        <v>0</v>
      </c>
    </row>
    <row r="210" spans="1:8" ht="13.7" customHeight="1" x14ac:dyDescent="0.25">
      <c r="A210" s="52"/>
      <c r="B210" s="52"/>
      <c r="C210" s="7" t="s">
        <v>68</v>
      </c>
      <c r="D210" s="9" t="str">
        <f>'Оборудование и материалы'!$A$96</f>
        <v xml:space="preserve">Кабель контрольный ВВГнг-LS 4*2,5 </v>
      </c>
      <c r="E210" s="31" t="s">
        <v>8</v>
      </c>
      <c r="F210" s="64">
        <f>'Оборудование и материалы'!$D$96</f>
        <v>101.474</v>
      </c>
      <c r="G210" s="24">
        <f>(G191+G190)*8</f>
        <v>160</v>
      </c>
      <c r="H210" s="64">
        <f t="shared" si="8"/>
        <v>16235.84</v>
      </c>
    </row>
    <row r="211" spans="1:8" s="241" customFormat="1" ht="13.7" customHeight="1" x14ac:dyDescent="0.25">
      <c r="A211" s="58"/>
      <c r="B211" s="58"/>
      <c r="C211" s="7" t="s">
        <v>68</v>
      </c>
      <c r="D211" s="9" t="str">
        <f>'Оборудование и материалы'!$A$97</f>
        <v xml:space="preserve">Кабель контрольный КВВГнг-LS 7*2,5 </v>
      </c>
      <c r="E211" s="31" t="s">
        <v>8</v>
      </c>
      <c r="F211" s="64">
        <f>'Оборудование и материалы'!$D$97</f>
        <v>157.28813559322035</v>
      </c>
      <c r="G211" s="31">
        <f>G190*8</f>
        <v>88</v>
      </c>
      <c r="H211" s="64">
        <f t="shared" si="8"/>
        <v>13841.355932203391</v>
      </c>
    </row>
    <row r="212" spans="1:8" ht="13.7" customHeight="1" x14ac:dyDescent="0.25">
      <c r="A212" s="52"/>
      <c r="B212" s="52"/>
      <c r="C212" s="7" t="s">
        <v>53</v>
      </c>
      <c r="D212" s="9" t="str">
        <f>'Оборудование и материалы'!$A$100</f>
        <v xml:space="preserve">Кабель ПВ-1 1*2,5 </v>
      </c>
      <c r="E212" s="233" t="s">
        <v>8</v>
      </c>
      <c r="F212" s="64">
        <f>'Оборудование и материалы'!$D$100</f>
        <v>15.254237288135593</v>
      </c>
      <c r="G212" s="233">
        <f>G190*6</f>
        <v>66</v>
      </c>
      <c r="H212" s="53">
        <f t="shared" si="8"/>
        <v>1006.7796610169491</v>
      </c>
    </row>
    <row r="213" spans="1:8" ht="13.7" customHeight="1" x14ac:dyDescent="0.25">
      <c r="A213" s="52"/>
      <c r="B213" s="52"/>
      <c r="C213" s="7" t="s">
        <v>144</v>
      </c>
      <c r="D213" s="9" t="str">
        <f>'Оборудование и материалы'!$A$101</f>
        <v>Кабель ПВ-3 1*10</v>
      </c>
      <c r="E213" s="233" t="s">
        <v>8</v>
      </c>
      <c r="F213" s="64">
        <f>'Оборудование и материалы'!$D$101</f>
        <v>44.915254237288138</v>
      </c>
      <c r="G213" s="233">
        <f>G194*10</f>
        <v>90</v>
      </c>
      <c r="H213" s="53">
        <f t="shared" si="8"/>
        <v>4042.3728813559323</v>
      </c>
    </row>
    <row r="214" spans="1:8" ht="13.7" customHeight="1" x14ac:dyDescent="0.25">
      <c r="A214" s="52"/>
      <c r="B214" s="52"/>
      <c r="C214" s="7" t="s">
        <v>306</v>
      </c>
      <c r="D214" s="9" t="str">
        <f>'Оборудование и материалы'!$A$102</f>
        <v xml:space="preserve">Кабель интерфейсный ТехноКИПнг (D) 2*2*0,6 </v>
      </c>
      <c r="E214" s="233" t="s">
        <v>8</v>
      </c>
      <c r="F214" s="64">
        <f>'Оборудование и материалы'!$D$102</f>
        <v>82.652542372881356</v>
      </c>
      <c r="G214" s="233">
        <v>11</v>
      </c>
      <c r="H214" s="53">
        <f t="shared" si="8"/>
        <v>909.17796610169489</v>
      </c>
    </row>
    <row r="215" spans="1:8" ht="13.7" customHeight="1" x14ac:dyDescent="0.25">
      <c r="A215" s="52"/>
      <c r="B215" s="52"/>
      <c r="C215" s="7" t="s">
        <v>116</v>
      </c>
      <c r="D215" s="9" t="str">
        <f>'Оборудование и материалы'!$A$143</f>
        <v>Испытательная коробка (КИ10, ИКК)</v>
      </c>
      <c r="E215" s="233" t="s">
        <v>7</v>
      </c>
      <c r="F215" s="64">
        <f>'Оборудование и материалы'!$D$143</f>
        <v>498.9830508474576</v>
      </c>
      <c r="G215" s="233">
        <f>G190</f>
        <v>11</v>
      </c>
      <c r="H215" s="53">
        <f t="shared" si="8"/>
        <v>5488.8135593220341</v>
      </c>
    </row>
    <row r="216" spans="1:8" ht="13.7" customHeight="1" x14ac:dyDescent="0.25">
      <c r="A216" s="52"/>
      <c r="B216" s="52"/>
      <c r="C216" s="7" t="s">
        <v>42</v>
      </c>
      <c r="D216" s="9" t="str">
        <f>'Оборудование и материалы'!$A$161</f>
        <v>Розетка РАр10-3-ОПс заземлением на DIN-рейку ИЭК</v>
      </c>
      <c r="E216" s="233" t="s">
        <v>7</v>
      </c>
      <c r="F216" s="64">
        <f>'Оборудование и материалы'!D161</f>
        <v>64.381355932203391</v>
      </c>
      <c r="G216" s="233">
        <f>G194*2</f>
        <v>18</v>
      </c>
      <c r="H216" s="53">
        <f t="shared" si="8"/>
        <v>1158.8644067796611</v>
      </c>
    </row>
    <row r="217" spans="1:8" ht="13.7" customHeight="1" x14ac:dyDescent="0.25">
      <c r="A217" s="52"/>
      <c r="B217" s="52"/>
      <c r="C217" s="7" t="s">
        <v>43</v>
      </c>
      <c r="D217" s="9" t="str">
        <f>'Оборудование и материалы'!$A$176</f>
        <v>DIN-рейка оцинкованная</v>
      </c>
      <c r="E217" s="233" t="s">
        <v>7</v>
      </c>
      <c r="F217" s="64">
        <f>'Оборудование и материалы'!D176</f>
        <v>38.5</v>
      </c>
      <c r="G217" s="233">
        <f>G194</f>
        <v>9</v>
      </c>
      <c r="H217" s="53">
        <f t="shared" si="8"/>
        <v>346.5</v>
      </c>
    </row>
    <row r="218" spans="1:8" ht="13.7" customHeight="1" x14ac:dyDescent="0.25">
      <c r="A218" s="52"/>
      <c r="B218" s="52"/>
      <c r="C218" s="7" t="s">
        <v>173</v>
      </c>
      <c r="D218" s="9" t="str">
        <f>'Оборудование и материалы'!$A$171</f>
        <v>Металлорукав ПХВ  РЗ-ЦП нг 32  (диаметр 32мм )</v>
      </c>
      <c r="E218" s="233" t="s">
        <v>8</v>
      </c>
      <c r="F218" s="64">
        <f>'Оборудование и материалы'!D171</f>
        <v>72.644067796610173</v>
      </c>
      <c r="G218" s="233">
        <f>G194*16</f>
        <v>144</v>
      </c>
      <c r="H218" s="53">
        <f t="shared" si="8"/>
        <v>10460.745762711866</v>
      </c>
    </row>
    <row r="219" spans="1:8" ht="13.7" customHeight="1" x14ac:dyDescent="0.25">
      <c r="A219" s="52"/>
      <c r="B219" s="52"/>
      <c r="C219" s="7" t="s">
        <v>44</v>
      </c>
      <c r="D219" s="9" t="str">
        <f>'Оборудование и материалы'!$A$169</f>
        <v>Замок навесной</v>
      </c>
      <c r="E219" s="233" t="s">
        <v>7</v>
      </c>
      <c r="F219" s="64">
        <f>'Оборудование и материалы'!D169</f>
        <v>334.74576271186442</v>
      </c>
      <c r="G219" s="233">
        <f>G194</f>
        <v>9</v>
      </c>
      <c r="H219" s="53">
        <f t="shared" si="8"/>
        <v>3012.7118644067796</v>
      </c>
    </row>
    <row r="220" spans="1:8" ht="13.7" customHeight="1" x14ac:dyDescent="0.25">
      <c r="A220" s="52"/>
      <c r="B220" s="52"/>
      <c r="C220" s="7" t="s">
        <v>45</v>
      </c>
      <c r="D220" s="9" t="str">
        <f>'Оборудование и материалы'!$A$177</f>
        <v xml:space="preserve">уголок 40х40, болты, гайка, шайба (анкерный болт, гайка, шайба) </v>
      </c>
      <c r="E220" s="233" t="s">
        <v>7</v>
      </c>
      <c r="F220" s="64">
        <f>'Оборудование и материалы'!D177</f>
        <v>1016.949152542373</v>
      </c>
      <c r="G220" s="233">
        <f>G194</f>
        <v>9</v>
      </c>
      <c r="H220" s="53">
        <f t="shared" si="8"/>
        <v>9152.5423728813566</v>
      </c>
    </row>
    <row r="221" spans="1:8" ht="13.7" customHeight="1" x14ac:dyDescent="0.25">
      <c r="A221" s="52"/>
      <c r="B221" s="52"/>
      <c r="C221" s="7" t="s">
        <v>46</v>
      </c>
      <c r="D221" s="9" t="str">
        <f>'Оборудование и материалы'!$A$178</f>
        <v>уголок 40х40, болты, гайка, шайба</v>
      </c>
      <c r="E221" s="233" t="s">
        <v>7</v>
      </c>
      <c r="F221" s="64">
        <f>'Оборудование и материалы'!D178</f>
        <v>1016.949152542373</v>
      </c>
      <c r="G221" s="233">
        <f>SUM(G196:G206)</f>
        <v>33</v>
      </c>
      <c r="H221" s="53">
        <f t="shared" si="8"/>
        <v>33559.322033898308</v>
      </c>
    </row>
    <row r="222" spans="1:8" ht="13.7" customHeight="1" x14ac:dyDescent="0.25">
      <c r="A222" s="52"/>
      <c r="B222" s="52"/>
      <c r="C222" s="7" t="s">
        <v>455</v>
      </c>
      <c r="D222" s="9" t="str">
        <f>'Оборудование и материалы'!A165</f>
        <v xml:space="preserve">Разветвляющая  коробка  интерфейса RS-485 </v>
      </c>
      <c r="E222" s="233" t="s">
        <v>7</v>
      </c>
      <c r="F222" s="64">
        <f>'Оборудование и материалы'!D165</f>
        <v>716.10169491525426</v>
      </c>
      <c r="G222" s="233">
        <v>55</v>
      </c>
      <c r="H222" s="53">
        <f t="shared" si="8"/>
        <v>39385.593220338982</v>
      </c>
    </row>
    <row r="223" spans="1:8" ht="13.7" customHeight="1" x14ac:dyDescent="0.25">
      <c r="A223" s="52"/>
      <c r="B223" s="52"/>
      <c r="C223" s="7" t="s">
        <v>130</v>
      </c>
      <c r="D223" s="9" t="str">
        <f>'Оборудование и материалы'!$A$188</f>
        <v>Наконечники под силовой кабель ВВГнг (АВВГнг) сечением от 25 мм2 до 150 мм2</v>
      </c>
      <c r="E223" s="233" t="s">
        <v>7</v>
      </c>
      <c r="F223" s="64">
        <f>'Оборудование и материалы'!$D$188</f>
        <v>38.5</v>
      </c>
      <c r="G223" s="233">
        <f>SUM(G196:G199)*4</f>
        <v>120</v>
      </c>
      <c r="H223" s="53">
        <f t="shared" si="8"/>
        <v>4620</v>
      </c>
    </row>
    <row r="224" spans="1:8" ht="13.7" customHeight="1" x14ac:dyDescent="0.25">
      <c r="A224" s="52"/>
      <c r="B224" s="52"/>
      <c r="C224" s="7" t="s">
        <v>72</v>
      </c>
      <c r="D224" s="9" t="str">
        <f>'Оборудование и материалы'!$A$189</f>
        <v>НШвИ-2,5 (60 шт.)</v>
      </c>
      <c r="E224" s="233" t="s">
        <v>74</v>
      </c>
      <c r="F224" s="64">
        <f>'Оборудование и материалы'!$D$189</f>
        <v>35.200000000000003</v>
      </c>
      <c r="G224" s="233">
        <f>G194</f>
        <v>9</v>
      </c>
      <c r="H224" s="53">
        <f t="shared" si="8"/>
        <v>316.8</v>
      </c>
    </row>
    <row r="225" spans="1:8" ht="13.7" customHeight="1" x14ac:dyDescent="0.25">
      <c r="A225" s="52"/>
      <c r="B225" s="52"/>
      <c r="C225" s="7" t="s">
        <v>129</v>
      </c>
      <c r="D225" s="10" t="str">
        <f>'Оборудование и материалы'!$A$190</f>
        <v>ТМ/ТМЛ 10-8-5</v>
      </c>
      <c r="E225" s="233" t="s">
        <v>7</v>
      </c>
      <c r="F225" s="64">
        <f>'Оборудование и материалы'!$D$190</f>
        <v>17.27</v>
      </c>
      <c r="G225" s="233">
        <f>G194*2</f>
        <v>18</v>
      </c>
      <c r="H225" s="53">
        <f t="shared" si="8"/>
        <v>310.86</v>
      </c>
    </row>
    <row r="226" spans="1:8" ht="13.7" customHeight="1" x14ac:dyDescent="0.25">
      <c r="A226" s="52"/>
      <c r="B226" s="52"/>
      <c r="C226" s="197" t="s">
        <v>129</v>
      </c>
      <c r="D226" s="8" t="str">
        <f>'Оборудование и материалы'!$A$191</f>
        <v xml:space="preserve">ТА 25-8-7 </v>
      </c>
      <c r="E226" s="233" t="s">
        <v>7</v>
      </c>
      <c r="F226" s="64">
        <f>'Оборудование и материалы'!$D$191</f>
        <v>12.21</v>
      </c>
      <c r="G226" s="233">
        <f>G189*8</f>
        <v>0</v>
      </c>
      <c r="H226" s="53">
        <f t="shared" si="8"/>
        <v>0</v>
      </c>
    </row>
    <row r="227" spans="1:8" ht="13.7" customHeight="1" x14ac:dyDescent="0.25">
      <c r="A227" s="52"/>
      <c r="B227" s="52"/>
      <c r="C227" s="7" t="s">
        <v>70</v>
      </c>
      <c r="D227" s="9" t="str">
        <f>'Оборудование и материалы'!$A$192</f>
        <v>Наконечник штифтовой НШП-25</v>
      </c>
      <c r="E227" s="233" t="s">
        <v>7</v>
      </c>
      <c r="F227" s="64">
        <f>'Оборудование и материалы'!$D$192</f>
        <v>15.906000000000002</v>
      </c>
      <c r="G227" s="233">
        <f>G189*8</f>
        <v>0</v>
      </c>
      <c r="H227" s="53">
        <f t="shared" si="8"/>
        <v>0</v>
      </c>
    </row>
    <row r="228" spans="1:8" ht="13.7" customHeight="1" x14ac:dyDescent="0.25">
      <c r="A228" s="52"/>
      <c r="B228" s="52"/>
      <c r="C228" s="4" t="s">
        <v>59</v>
      </c>
      <c r="D228" s="5" t="str">
        <f>'Оборудование и материалы'!$A$193</f>
        <v>Стяжка монтажная,  100 шт. на ТП</v>
      </c>
      <c r="E228" s="233" t="s">
        <v>7</v>
      </c>
      <c r="F228" s="64">
        <f>'Оборудование и материалы'!$D$193</f>
        <v>299.80508474576271</v>
      </c>
      <c r="G228" s="233">
        <f>G194</f>
        <v>9</v>
      </c>
      <c r="H228" s="53">
        <f t="shared" si="8"/>
        <v>2698.2457627118642</v>
      </c>
    </row>
    <row r="229" spans="1:8" ht="13.7" customHeight="1" x14ac:dyDescent="0.25">
      <c r="A229" s="52"/>
      <c r="B229" s="52"/>
      <c r="C229" s="4"/>
      <c r="D229" s="5"/>
      <c r="E229" s="233"/>
      <c r="F229" s="64"/>
      <c r="G229" s="233"/>
      <c r="H229" s="53">
        <f t="shared" si="8"/>
        <v>0</v>
      </c>
    </row>
    <row r="230" spans="1:8" ht="13.7" customHeight="1" x14ac:dyDescent="0.25">
      <c r="A230" s="52"/>
      <c r="B230" s="52"/>
      <c r="C230" s="4"/>
      <c r="D230" s="14" t="s">
        <v>62</v>
      </c>
      <c r="E230" s="233"/>
      <c r="F230" s="53"/>
      <c r="G230" s="233"/>
      <c r="H230" s="53">
        <f>SUM(H189:H191)</f>
        <v>667890.50847457629</v>
      </c>
    </row>
    <row r="231" spans="1:8" ht="13.7" customHeight="1" x14ac:dyDescent="0.25">
      <c r="A231" s="52"/>
      <c r="B231" s="52"/>
      <c r="C231" s="20"/>
      <c r="D231" s="117" t="s">
        <v>107</v>
      </c>
      <c r="E231" s="233"/>
      <c r="F231" s="53"/>
      <c r="G231" s="233"/>
      <c r="H231" s="64">
        <f>SUM(H192:H229)</f>
        <v>444067.83898305084</v>
      </c>
    </row>
    <row r="232" spans="1:8" ht="13.7" customHeight="1" x14ac:dyDescent="0.25">
      <c r="A232" s="52"/>
      <c r="B232" s="52"/>
      <c r="C232" s="20"/>
      <c r="D232" s="15" t="s">
        <v>131</v>
      </c>
      <c r="E232" s="233"/>
      <c r="F232" s="53"/>
      <c r="G232" s="134">
        <f>G194</f>
        <v>9</v>
      </c>
      <c r="H232" s="135">
        <f>F232*G232</f>
        <v>0</v>
      </c>
    </row>
    <row r="233" spans="1:8" ht="13.7" hidden="1" customHeight="1" x14ac:dyDescent="0.25">
      <c r="A233" s="54"/>
      <c r="B233" s="54"/>
      <c r="C233" s="70" t="s">
        <v>54</v>
      </c>
      <c r="D233" s="18"/>
      <c r="E233" s="62"/>
      <c r="F233" s="63"/>
      <c r="G233" s="62"/>
      <c r="H233" s="63"/>
    </row>
    <row r="234" spans="1:8" ht="62.1" hidden="1" customHeight="1" x14ac:dyDescent="0.25">
      <c r="A234" s="58"/>
      <c r="B234" s="58"/>
      <c r="C234" s="2" t="s">
        <v>147</v>
      </c>
      <c r="D234" s="8" t="str">
        <f>'Оборудование и материалы'!$A$52</f>
        <v>Трехфазный счетчик прямого включения активно-реактивный,(8-тарифов, класс.точности (А/Р)- 1,0/2,0, Uном 3х220(230)/380(400) Iном (макс)  5-(100)А, оптопорт, RS-485, (открытый протокол DLMS/COSEM), c GSM/GPRS модулем, -40...+70)  или аналог. (NP 73E.2-2-2 с GSM/GPRS)</v>
      </c>
      <c r="E234" s="233" t="s">
        <v>7</v>
      </c>
      <c r="F234" s="64">
        <f>'Оборудование и материалы'!$D$24</f>
        <v>5508.4745762711864</v>
      </c>
      <c r="G234" s="31"/>
      <c r="H234" s="64">
        <f t="shared" ref="H234:H236" si="9">F234*G234</f>
        <v>0</v>
      </c>
    </row>
    <row r="235" spans="1:8" s="241" customFormat="1" ht="52.5" hidden="1" customHeight="1" x14ac:dyDescent="0.25">
      <c r="A235" s="58"/>
      <c r="B235" s="58"/>
      <c r="C235" s="7" t="s">
        <v>55</v>
      </c>
      <c r="D235" s="149" t="str">
        <f>'Оборудование и материалы'!$A$53</f>
        <v>Трехфазный счетчик полукосвенного включения активно-реактивный, (8-тарифов, класс.точности (А/Р)- 1,0/2,0, Uном 3х220(230)/380(400) Iном (макс)  5-(7,5)А,  оптопорт, RS-485, (открытый протокол DLMS/COSEM), c GSM/GPRS модулем, -40...+70)  или аналог. (NP 73E.3-6-2  с GSM/GPRS)</v>
      </c>
      <c r="E235" s="233" t="s">
        <v>7</v>
      </c>
      <c r="F235" s="64">
        <f>'Оборудование и материалы'!$D$25</f>
        <v>7711.8644067796613</v>
      </c>
      <c r="G235" s="31"/>
      <c r="H235" s="64">
        <f t="shared" si="9"/>
        <v>0</v>
      </c>
    </row>
    <row r="236" spans="1:8" s="241" customFormat="1" ht="13.7" hidden="1" customHeight="1" x14ac:dyDescent="0.25">
      <c r="A236" s="58"/>
      <c r="B236" s="58"/>
      <c r="C236" s="116"/>
      <c r="D236" s="116"/>
      <c r="E236" s="116"/>
      <c r="F236" s="64"/>
      <c r="G236" s="31"/>
      <c r="H236" s="64">
        <f t="shared" si="9"/>
        <v>0</v>
      </c>
    </row>
    <row r="237" spans="1:8" s="241" customFormat="1" ht="13.7" hidden="1" customHeight="1" x14ac:dyDescent="0.25">
      <c r="A237" s="58"/>
      <c r="B237" s="58"/>
      <c r="C237" s="20"/>
      <c r="D237" s="14" t="s">
        <v>62</v>
      </c>
      <c r="E237" s="233"/>
      <c r="F237" s="64"/>
      <c r="G237" s="31"/>
      <c r="H237" s="64">
        <f>SUM(H234:H235)</f>
        <v>0</v>
      </c>
    </row>
    <row r="238" spans="1:8" s="241" customFormat="1" ht="13.7" hidden="1" customHeight="1" x14ac:dyDescent="0.25">
      <c r="A238" s="58"/>
      <c r="B238" s="58"/>
      <c r="C238" s="20"/>
      <c r="D238" s="117" t="s">
        <v>107</v>
      </c>
      <c r="E238" s="233"/>
      <c r="F238" s="64"/>
      <c r="G238" s="31"/>
      <c r="H238" s="64"/>
    </row>
    <row r="239" spans="1:8" s="241" customFormat="1" ht="13.7" hidden="1" customHeight="1" x14ac:dyDescent="0.25">
      <c r="A239" s="58"/>
      <c r="B239" s="58"/>
      <c r="C239" s="20"/>
      <c r="D239" s="15" t="s">
        <v>131</v>
      </c>
      <c r="E239" s="233"/>
      <c r="F239" s="64"/>
      <c r="G239" s="136"/>
      <c r="H239" s="135">
        <f>F239*G239</f>
        <v>0</v>
      </c>
    </row>
    <row r="240" spans="1:8" ht="13.7" customHeight="1" x14ac:dyDescent="0.25">
      <c r="A240" s="65"/>
      <c r="B240" s="65"/>
      <c r="C240" s="47" t="s">
        <v>60</v>
      </c>
      <c r="D240" s="66"/>
      <c r="E240" s="67"/>
      <c r="F240" s="68"/>
      <c r="G240" s="67"/>
      <c r="H240" s="68"/>
    </row>
    <row r="241" spans="1:8" ht="13.7" customHeight="1" x14ac:dyDescent="0.25">
      <c r="A241" s="52"/>
      <c r="B241" s="52"/>
      <c r="C241" s="5" t="s">
        <v>133</v>
      </c>
      <c r="D241" s="5" t="str">
        <f>'Оборудование и материалы'!$A$182</f>
        <v>Пластиковая пломба с логотипом (ОАО «ДРСК») и уникальным номером</v>
      </c>
      <c r="E241" s="12" t="s">
        <v>7</v>
      </c>
      <c r="F241" s="64">
        <f>'Оборудование и материалы'!$D$182</f>
        <v>11.22</v>
      </c>
      <c r="G241" s="233">
        <f>G10+G25+G41+G49+G57+G72+G88+G99+G114+G130+G138+G143+G158+G174+G181+G182+G234+G235</f>
        <v>526</v>
      </c>
      <c r="H241" s="53">
        <f t="shared" ref="H241:H248" si="10">F241*G241</f>
        <v>5901.72</v>
      </c>
    </row>
    <row r="242" spans="1:8" ht="13.7" customHeight="1" x14ac:dyDescent="0.25">
      <c r="A242" s="52"/>
      <c r="B242" s="52"/>
      <c r="C242" s="5" t="s">
        <v>134</v>
      </c>
      <c r="D242" s="5" t="s">
        <v>136</v>
      </c>
      <c r="E242" s="12" t="s">
        <v>7</v>
      </c>
      <c r="F242" s="64">
        <v>2.3100000000000005</v>
      </c>
      <c r="G242" s="233">
        <f>G189+G190+G191+G194+G196+G197+G198+G199+G200+G201+G202+G203+G204+G205+G206+G215</f>
        <v>73</v>
      </c>
      <c r="H242" s="53">
        <f t="shared" si="10"/>
        <v>168.63000000000002</v>
      </c>
    </row>
    <row r="243" spans="1:8" ht="13.7" customHeight="1" x14ac:dyDescent="0.25">
      <c r="A243" s="52"/>
      <c r="B243" s="52"/>
      <c r="C243" s="5" t="s">
        <v>61</v>
      </c>
      <c r="D243" s="5" t="s">
        <v>61</v>
      </c>
      <c r="E243" s="233" t="s">
        <v>8</v>
      </c>
      <c r="F243" s="64">
        <v>2.6565000000000003</v>
      </c>
      <c r="G243" s="233">
        <f>G241+G242</f>
        <v>599</v>
      </c>
      <c r="H243" s="53">
        <f t="shared" si="10"/>
        <v>1591.2435000000003</v>
      </c>
    </row>
    <row r="244" spans="1:8" ht="13.7" customHeight="1" x14ac:dyDescent="0.25">
      <c r="A244" s="52"/>
      <c r="B244" s="52"/>
      <c r="C244" s="130" t="s">
        <v>306</v>
      </c>
      <c r="D244" s="116"/>
      <c r="E244" s="12"/>
      <c r="F244" s="64"/>
      <c r="G244" s="233"/>
      <c r="H244" s="53">
        <f t="shared" si="10"/>
        <v>0</v>
      </c>
    </row>
    <row r="245" spans="1:8" ht="13.7" customHeight="1" x14ac:dyDescent="0.25">
      <c r="A245" s="52"/>
      <c r="B245" s="52"/>
      <c r="C245" s="3" t="s">
        <v>117</v>
      </c>
      <c r="D245" s="181" t="str">
        <f>'Оборудование и материалы'!$A$146</f>
        <v>Антенна  BEST GSM-900 AKL-B в комплекте с кабелем 15м</v>
      </c>
      <c r="E245" s="12" t="s">
        <v>7</v>
      </c>
      <c r="F245" s="64">
        <f>'Оборудование и материалы'!$D$146</f>
        <v>7226.5847457627133</v>
      </c>
      <c r="G245" s="233"/>
      <c r="H245" s="53">
        <f t="shared" si="10"/>
        <v>0</v>
      </c>
    </row>
    <row r="246" spans="1:8" ht="13.7" customHeight="1" x14ac:dyDescent="0.25">
      <c r="A246" s="52"/>
      <c r="B246" s="52"/>
      <c r="C246" s="21" t="s">
        <v>233</v>
      </c>
      <c r="D246" s="21"/>
      <c r="E246" s="12" t="s">
        <v>7</v>
      </c>
      <c r="F246" s="64"/>
      <c r="G246" s="233"/>
      <c r="H246" s="53">
        <f t="shared" si="10"/>
        <v>0</v>
      </c>
    </row>
    <row r="247" spans="1:8" ht="13.7" customHeight="1" x14ac:dyDescent="0.25">
      <c r="A247" s="52"/>
      <c r="B247" s="52"/>
      <c r="C247" s="21" t="s">
        <v>307</v>
      </c>
      <c r="D247" s="21" t="str">
        <f>'Оборудование и материалы'!A155</f>
        <v>Модем USB-RF предназначен для осуществления удаленного радиодоступа со стороны компьютера к счетчикам электроэнергии</v>
      </c>
      <c r="E247" s="12" t="s">
        <v>7</v>
      </c>
      <c r="F247" s="64">
        <f>'Оборудование и материалы'!D155</f>
        <v>10979.661016949152</v>
      </c>
      <c r="G247" s="233">
        <v>1</v>
      </c>
      <c r="H247" s="53">
        <f t="shared" si="10"/>
        <v>10979.661016949152</v>
      </c>
    </row>
    <row r="248" spans="1:8" x14ac:dyDescent="0.25">
      <c r="A248" s="52"/>
      <c r="B248" s="52"/>
      <c r="C248" s="21"/>
      <c r="D248" s="22"/>
      <c r="E248" s="12"/>
      <c r="F248" s="64"/>
      <c r="G248" s="233"/>
      <c r="H248" s="53">
        <f t="shared" si="10"/>
        <v>0</v>
      </c>
    </row>
    <row r="249" spans="1:8" x14ac:dyDescent="0.25">
      <c r="A249" s="52"/>
      <c r="B249" s="52"/>
      <c r="C249" s="5"/>
      <c r="D249" s="14" t="s">
        <v>62</v>
      </c>
      <c r="E249" s="12"/>
      <c r="F249" s="64"/>
      <c r="G249" s="233"/>
      <c r="H249" s="53">
        <v>0</v>
      </c>
    </row>
    <row r="250" spans="1:8" x14ac:dyDescent="0.25">
      <c r="A250" s="52"/>
      <c r="B250" s="52"/>
      <c r="C250" s="86"/>
      <c r="D250" s="117" t="s">
        <v>107</v>
      </c>
      <c r="E250" s="233"/>
      <c r="F250" s="86"/>
      <c r="G250" s="233"/>
      <c r="H250" s="53">
        <f>SUM(H241:H243,H244:H247)</f>
        <v>18641.254516949153</v>
      </c>
    </row>
    <row r="251" spans="1:8" x14ac:dyDescent="0.25">
      <c r="A251" s="52"/>
      <c r="B251" s="52"/>
      <c r="C251" s="21"/>
      <c r="D251" s="15"/>
      <c r="E251" s="16"/>
      <c r="F251" s="86"/>
      <c r="G251" s="233"/>
      <c r="H251" s="64"/>
    </row>
    <row r="252" spans="1:8" s="242" customFormat="1" x14ac:dyDescent="0.25">
      <c r="A252" s="52"/>
      <c r="B252" s="52"/>
      <c r="C252" s="21"/>
      <c r="D252" s="15"/>
      <c r="E252" s="52"/>
      <c r="F252" s="86"/>
      <c r="G252" s="233"/>
      <c r="H252" s="64"/>
    </row>
    <row r="253" spans="1:8" s="242" customFormat="1" x14ac:dyDescent="0.25">
      <c r="A253" s="52"/>
      <c r="B253" s="52"/>
      <c r="C253" s="21"/>
      <c r="D253" s="15" t="s">
        <v>64</v>
      </c>
      <c r="E253" s="52"/>
      <c r="F253" s="86"/>
      <c r="G253" s="233"/>
      <c r="H253" s="53">
        <f>H21+H37+H45+H53+H68+H84+H94+H110+H126+H134+H140+H154+H170+H176+H184+H230+H237+H249</f>
        <v>6763936.4745762711</v>
      </c>
    </row>
    <row r="254" spans="1:8" s="242" customFormat="1" x14ac:dyDescent="0.25">
      <c r="A254" s="52"/>
      <c r="B254" s="52"/>
      <c r="C254" s="21"/>
      <c r="D254" s="15" t="s">
        <v>128</v>
      </c>
      <c r="E254" s="233"/>
      <c r="F254" s="86"/>
      <c r="G254" s="233"/>
      <c r="H254" s="53">
        <f>H22+H38+H46+H54+H69+H85+H95+H111+H127+H135+H155+H171+H185+H231+H238+H250</f>
        <v>2311339.5330211031</v>
      </c>
    </row>
    <row r="255" spans="1:8" s="242" customFormat="1" x14ac:dyDescent="0.25">
      <c r="A255" s="52"/>
      <c r="B255" s="52"/>
      <c r="C255" s="21"/>
      <c r="D255" s="15" t="s">
        <v>65</v>
      </c>
      <c r="E255" s="233"/>
      <c r="F255" s="86"/>
      <c r="G255" s="233"/>
      <c r="H255" s="53">
        <f>H23+H39+H47+H55+H70+H86+H96+H112+H128+H136+H141+H156+H172+H177+H186+H232+H239</f>
        <v>0</v>
      </c>
    </row>
    <row r="256" spans="1:8" s="242" customFormat="1" x14ac:dyDescent="0.25">
      <c r="A256" s="52"/>
      <c r="B256" s="52"/>
      <c r="C256" s="21"/>
      <c r="D256" s="72" t="s">
        <v>63</v>
      </c>
      <c r="E256" s="52"/>
      <c r="F256" s="53"/>
      <c r="G256" s="233"/>
      <c r="H256" s="135">
        <f>H253+H254+H255</f>
        <v>9075276.0075973738</v>
      </c>
    </row>
    <row r="257" spans="1:8" s="242" customFormat="1" ht="16.5" customHeight="1" x14ac:dyDescent="0.25">
      <c r="A257" s="73"/>
      <c r="B257" s="73"/>
      <c r="C257" s="73"/>
      <c r="D257" s="15" t="s">
        <v>66</v>
      </c>
      <c r="E257" s="73"/>
      <c r="F257" s="94"/>
      <c r="G257" s="94"/>
      <c r="H257" s="126"/>
    </row>
    <row r="258" spans="1:8" s="242" customFormat="1" x14ac:dyDescent="0.25">
      <c r="A258" s="52"/>
      <c r="B258" s="52"/>
      <c r="C258" s="21"/>
      <c r="D258" s="15" t="s">
        <v>67</v>
      </c>
      <c r="E258" s="233"/>
      <c r="F258" s="53"/>
      <c r="G258" s="233"/>
      <c r="H258" s="87">
        <f>H256+H257</f>
        <v>9075276.0075973738</v>
      </c>
    </row>
    <row r="259" spans="1:8" s="242" customFormat="1" x14ac:dyDescent="0.25">
      <c r="A259" s="235"/>
      <c r="B259" s="235"/>
      <c r="C259" s="236"/>
      <c r="D259" s="236"/>
      <c r="E259" s="237"/>
      <c r="F259" s="88"/>
      <c r="G259" s="76"/>
      <c r="H259" s="74"/>
    </row>
    <row r="260" spans="1:8" s="242" customFormat="1" x14ac:dyDescent="0.25">
      <c r="A260" s="235"/>
      <c r="B260" s="235"/>
      <c r="C260" s="236"/>
      <c r="D260" s="236"/>
      <c r="E260" s="237"/>
      <c r="F260" s="240"/>
      <c r="H260" s="238"/>
    </row>
    <row r="261" spans="1:8" s="242" customFormat="1" x14ac:dyDescent="0.25">
      <c r="A261" s="235"/>
      <c r="B261" s="235"/>
      <c r="C261" s="236"/>
      <c r="D261" s="236"/>
      <c r="E261" s="237"/>
      <c r="F261" s="240"/>
      <c r="H261" s="238"/>
    </row>
    <row r="262" spans="1:8" s="242" customFormat="1" x14ac:dyDescent="0.25">
      <c r="A262" s="235"/>
      <c r="B262" s="235"/>
      <c r="C262" s="236"/>
      <c r="D262" s="236"/>
      <c r="E262" s="237"/>
      <c r="F262" s="240"/>
      <c r="H262" s="238"/>
    </row>
    <row r="263" spans="1:8" s="242" customFormat="1" x14ac:dyDescent="0.25">
      <c r="A263" s="235"/>
      <c r="B263" s="235"/>
      <c r="C263" s="236"/>
      <c r="D263" s="236"/>
      <c r="E263" s="237"/>
      <c r="F263" s="240"/>
      <c r="G263" s="240"/>
      <c r="H263" s="238"/>
    </row>
    <row r="264" spans="1:8" s="242" customFormat="1" x14ac:dyDescent="0.25">
      <c r="A264" s="235"/>
      <c r="B264" s="264" t="s">
        <v>108</v>
      </c>
      <c r="C264" s="264"/>
      <c r="D264" s="264"/>
      <c r="E264" s="264"/>
      <c r="F264" s="264"/>
      <c r="G264" s="264"/>
      <c r="H264" s="264"/>
    </row>
    <row r="265" spans="1:8" s="242" customFormat="1" x14ac:dyDescent="0.25">
      <c r="A265" s="235"/>
      <c r="B265" s="235"/>
      <c r="C265" s="252"/>
      <c r="D265" s="252"/>
      <c r="E265" s="235"/>
      <c r="F265" s="235"/>
      <c r="G265" s="152"/>
      <c r="H265" s="80"/>
    </row>
    <row r="266" spans="1:8" s="242" customFormat="1" ht="13.7" customHeight="1" x14ac:dyDescent="0.25">
      <c r="A266" s="235"/>
      <c r="B266" s="235"/>
      <c r="C266" s="239" t="s">
        <v>6</v>
      </c>
      <c r="D266" s="127" t="str">
        <f>'Оборудование и материалы'!$A$58</f>
        <v>Однофазный прибор учета (8-тарифов, класс.точности (А/Р)- 1,0/2,0,  Uном -220(230) Iном (макс) 5-(100)А, встроенный приемо-передатчик RF, PLC, функция ретранслятора и радиомоста, RS-485, оптопорт, 3-дискретных выхода, 2-канала измерения, -40…+70 °С) или аналог.</v>
      </c>
      <c r="E266" s="235" t="s">
        <v>7</v>
      </c>
      <c r="F266" s="75">
        <f>G138</f>
        <v>0</v>
      </c>
      <c r="G266" s="75"/>
      <c r="H266" s="247"/>
    </row>
    <row r="267" spans="1:8" s="242" customFormat="1" ht="13.7" customHeight="1" x14ac:dyDescent="0.25">
      <c r="A267" s="235"/>
      <c r="B267" s="235"/>
      <c r="C267" s="239" t="s">
        <v>6</v>
      </c>
      <c r="D267" s="127" t="str">
        <f>'Оборудование и материалы'!$A$59</f>
        <v>Однофазный прибор учета (8-тарифов, класс.точности (А/Р)- 1,0/2,0,  Uном -220(230) Iном (макс) 5-(80)А, встроенный приемо-передатчик RF, PLC, функция ретранслятора и радиомоста, RS-485, оптопорт, 3-дискретных выхода, 2-канала измерения,  устройством коммутации нагрузки, -40…+70 °С) или аналог.</v>
      </c>
      <c r="E267" s="235" t="s">
        <v>7</v>
      </c>
      <c r="F267" s="75">
        <f>G49</f>
        <v>0</v>
      </c>
      <c r="G267" s="75"/>
      <c r="H267" s="247"/>
    </row>
    <row r="268" spans="1:8" s="242" customFormat="1" ht="13.7" customHeight="1" x14ac:dyDescent="0.25">
      <c r="A268" s="235"/>
      <c r="B268" s="235"/>
      <c r="C268" s="239" t="s">
        <v>6</v>
      </c>
      <c r="D268" s="127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268" s="235" t="s">
        <v>7</v>
      </c>
      <c r="F268" s="152">
        <f>G10+G25+G41+G99+G114+G130</f>
        <v>344</v>
      </c>
      <c r="G268" s="75"/>
      <c r="H268" s="247"/>
    </row>
    <row r="269" spans="1:8" s="242" customFormat="1" ht="13.7" customHeight="1" x14ac:dyDescent="0.25">
      <c r="A269" s="235"/>
      <c r="B269" s="235"/>
      <c r="C269" s="239" t="s">
        <v>18</v>
      </c>
      <c r="D269" s="127" t="s">
        <v>18</v>
      </c>
      <c r="E269" s="235" t="s">
        <v>7</v>
      </c>
      <c r="F269" s="152"/>
      <c r="G269" s="75"/>
      <c r="H269" s="248"/>
    </row>
    <row r="270" spans="1:8" s="242" customFormat="1" ht="13.7" customHeight="1" x14ac:dyDescent="0.25">
      <c r="A270" s="235"/>
      <c r="B270" s="71"/>
      <c r="C270" s="239" t="s">
        <v>21</v>
      </c>
      <c r="D270" s="127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270" s="235" t="s">
        <v>7</v>
      </c>
      <c r="F270" s="118">
        <f>G57+G72+G88+G143+G158</f>
        <v>122</v>
      </c>
      <c r="G270" s="75"/>
      <c r="H270" s="249"/>
    </row>
    <row r="271" spans="1:8" s="242" customFormat="1" ht="13.7" customHeight="1" x14ac:dyDescent="0.25">
      <c r="A271" s="76"/>
      <c r="B271" s="23"/>
      <c r="C271" s="239" t="s">
        <v>147</v>
      </c>
      <c r="D271" s="127" t="str">
        <f>'Оборудование и материалы'!$A$61</f>
        <v>Трехфазный счетчик прямого включения активно-реактивный, (8-тарифов, класс.точности (А/Р)- 1,0/2,0, Uном 3х220(230)/380(400) Iном (макс) 5-(80)А, встроенный приемо-передатчик RF, PLC, функция ретранслятора и радиомоста, оптопорт, 2RS-485, с устройством коммутации нагрузки, (открытый протокол DLMS/COSEM), 2-дискретных входа, 2-дискретных выхода, -40...+70 °С)  или аналог.</v>
      </c>
      <c r="E271" s="235" t="s">
        <v>7</v>
      </c>
      <c r="F271" s="79">
        <f>G174</f>
        <v>0</v>
      </c>
      <c r="G271" s="75"/>
      <c r="H271" s="246"/>
    </row>
    <row r="272" spans="1:8" s="242" customFormat="1" ht="13.7" customHeight="1" x14ac:dyDescent="0.25">
      <c r="A272" s="76"/>
      <c r="B272" s="23"/>
      <c r="C272" s="239" t="s">
        <v>24</v>
      </c>
      <c r="D272" s="127" t="str">
        <f>'Оборудование и материалы'!$A$62</f>
        <v>Трехфазный счетчик полукосвенного включения активно-реактивный, (8-тарифов, класс.точности (А/Р)- 0,5S/1,0, Uном 3х220(230)/380(400) Iном (макс)  5-(7,5)А,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</v>
      </c>
      <c r="E272" s="235" t="s">
        <v>7</v>
      </c>
      <c r="F272" s="79">
        <f>G181+G190</f>
        <v>41</v>
      </c>
      <c r="G272" s="75"/>
      <c r="H272" s="246"/>
    </row>
    <row r="273" spans="1:8" s="242" customFormat="1" ht="13.7" customHeight="1" x14ac:dyDescent="0.25">
      <c r="A273" s="76"/>
      <c r="B273" s="23"/>
      <c r="C273" s="239" t="s">
        <v>147</v>
      </c>
      <c r="D273" s="127" t="str">
        <f>'Оборудование и материалы'!$A$63</f>
        <v xml:space="preserve"> Трехфазный счетчик прямого включения активно-реактивный, (8-тарифов, класс.точности (А/Р)- 1,0/2,0, Uном 3х220(230)/380(400) Iном (макс)  5-(100)А 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 </v>
      </c>
      <c r="E273" s="235" t="s">
        <v>7</v>
      </c>
      <c r="F273" s="79">
        <f>G189</f>
        <v>0</v>
      </c>
      <c r="G273" s="75"/>
      <c r="H273" s="246"/>
    </row>
    <row r="274" spans="1:8" s="242" customFormat="1" ht="13.7" customHeight="1" x14ac:dyDescent="0.25">
      <c r="A274" s="76"/>
      <c r="B274" s="23"/>
      <c r="C274" s="239" t="s">
        <v>147</v>
      </c>
      <c r="D274" s="127" t="str">
        <f>'Оборудование и материалы'!$A$52</f>
        <v>Трехфазный счетчик прямого включения активно-реактивный,(8-тарифов, класс.точности (А/Р)- 1,0/2,0, Uном 3х220(230)/380(400) Iном (макс)  5-(100)А, оптопорт, RS-485, (открытый протокол DLMS/COSEM), c GSM/GPRS модулем, -40...+70)  или аналог. (NP 73E.2-2-2 с GSM/GPRS)</v>
      </c>
      <c r="E274" s="235" t="s">
        <v>7</v>
      </c>
      <c r="F274" s="79">
        <f>G234</f>
        <v>0</v>
      </c>
      <c r="G274" s="75"/>
      <c r="H274" s="246"/>
    </row>
    <row r="275" spans="1:8" s="242" customFormat="1" ht="13.7" customHeight="1" x14ac:dyDescent="0.25">
      <c r="B275" s="23"/>
      <c r="C275" s="239" t="s">
        <v>24</v>
      </c>
      <c r="D275" s="127" t="str">
        <f>'Оборудование и материалы'!$A$53</f>
        <v>Трехфазный счетчик полукосвенного включения активно-реактивный, (8-тарифов, класс.точности (А/Р)- 1,0/2,0, Uном 3х220(230)/380(400) Iном (макс)  5-(7,5)А,  оптопорт, RS-485, (открытый протокол DLMS/COSEM), c GSM/GPRS модулем, -40...+70)  или аналог. (NP 73E.3-6-2  с GSM/GPRS)</v>
      </c>
      <c r="E275" s="235" t="s">
        <v>7</v>
      </c>
      <c r="F275" s="79">
        <f>G235</f>
        <v>0</v>
      </c>
      <c r="G275" s="75"/>
      <c r="H275" s="246"/>
    </row>
    <row r="276" spans="1:8" ht="13.7" customHeight="1" x14ac:dyDescent="0.25">
      <c r="B276" s="23"/>
      <c r="C276" s="77" t="s">
        <v>31</v>
      </c>
      <c r="D276" s="140" t="str">
        <f>'Оборудование и материалы'!$A$78</f>
        <v xml:space="preserve">УСПД (GSM/GPRS), (в комплекте с защитным устройством: трехфазный автоматический выключатель ВА 47-63 3п 6А С -1 шт., ОИН-3 шт. на Din-рейку) </v>
      </c>
      <c r="E276" s="78" t="s">
        <v>7</v>
      </c>
      <c r="F276" s="152">
        <f>G191</f>
        <v>9</v>
      </c>
      <c r="G276" s="75"/>
      <c r="H276" s="247"/>
    </row>
    <row r="277" spans="1:8" ht="13.7" customHeight="1" x14ac:dyDescent="0.25">
      <c r="B277" s="23"/>
      <c r="C277" s="77" t="s">
        <v>110</v>
      </c>
      <c r="D277" s="140" t="str">
        <f>'Оборудование и материалы'!$A$84</f>
        <v>Терминал мобильный "Рим 099.01.01"</v>
      </c>
      <c r="E277" s="78" t="s">
        <v>7</v>
      </c>
      <c r="F277" s="152"/>
      <c r="G277" s="75"/>
      <c r="H277" s="250"/>
    </row>
    <row r="278" spans="1:8" ht="13.7" customHeight="1" x14ac:dyDescent="0.25">
      <c r="B278" s="23"/>
      <c r="C278" s="77" t="s">
        <v>110</v>
      </c>
      <c r="D278" s="140" t="str">
        <f>'Оборудование и материалы'!$A$85</f>
        <v>Терминал мобильный "Рим 099.01.03"</v>
      </c>
      <c r="E278" s="78" t="s">
        <v>7</v>
      </c>
      <c r="F278" s="152"/>
      <c r="G278" s="75"/>
      <c r="H278" s="80"/>
    </row>
    <row r="279" spans="1:8" ht="13.7" customHeight="1" x14ac:dyDescent="0.25">
      <c r="B279" s="23"/>
      <c r="C279" s="77" t="s">
        <v>76</v>
      </c>
      <c r="D279" s="140" t="str">
        <f>'Оборудование и материалы'!$A$86</f>
        <v>Мини-ный комплект для терминала мобильного "Рим 099.01.08"</v>
      </c>
      <c r="E279" s="78" t="s">
        <v>7</v>
      </c>
      <c r="F279" s="152"/>
      <c r="G279" s="75"/>
      <c r="H279" s="80"/>
    </row>
    <row r="280" spans="1:8" ht="13.7" customHeight="1" x14ac:dyDescent="0.25">
      <c r="B280" s="23"/>
      <c r="C280" s="77" t="s">
        <v>56</v>
      </c>
      <c r="D280" s="140" t="s">
        <v>118</v>
      </c>
      <c r="E280" s="78" t="s">
        <v>7</v>
      </c>
      <c r="F280" s="152"/>
      <c r="G280" s="75"/>
      <c r="H280" s="80"/>
    </row>
    <row r="281" spans="1:8" ht="13.7" customHeight="1" x14ac:dyDescent="0.25">
      <c r="B281" s="23"/>
      <c r="C281" s="77"/>
      <c r="D281" s="77"/>
      <c r="E281" s="78"/>
      <c r="F281" s="152"/>
      <c r="G281" s="75"/>
      <c r="H281" s="80"/>
    </row>
    <row r="282" spans="1:8" ht="13.7" customHeight="1" x14ac:dyDescent="0.25">
      <c r="B282" s="23"/>
      <c r="C282" s="239" t="s">
        <v>34</v>
      </c>
      <c r="D282" s="239" t="str">
        <f>'Оборудование и материалы'!$A$118</f>
        <v>Трансформаторы тока 100/5, кл. 0,5S  У3 (Т-0,66-1-0,5S-5ВА-100/5 У3)</v>
      </c>
      <c r="E282" s="235" t="s">
        <v>7</v>
      </c>
      <c r="F282" s="152">
        <f t="shared" ref="F282:F292" si="11">G196</f>
        <v>3</v>
      </c>
      <c r="G282" s="75"/>
      <c r="H282" s="80"/>
    </row>
    <row r="283" spans="1:8" ht="13.7" customHeight="1" x14ac:dyDescent="0.25">
      <c r="B283" s="23"/>
      <c r="C283" s="239" t="s">
        <v>35</v>
      </c>
      <c r="D283" s="239" t="str">
        <f>'Оборудование и материалы'!$A$119</f>
        <v>Трансформаторы тока 150/5, кл. 0,5S  У3 (Т-0,66-1-0,5S-5ВА-150/5 У3)</v>
      </c>
      <c r="E283" s="235" t="s">
        <v>7</v>
      </c>
      <c r="F283" s="152">
        <f t="shared" si="11"/>
        <v>15</v>
      </c>
      <c r="G283" s="75"/>
      <c r="H283" s="80"/>
    </row>
    <row r="284" spans="1:8" ht="13.7" customHeight="1" x14ac:dyDescent="0.25">
      <c r="B284" s="23"/>
      <c r="C284" s="239" t="s">
        <v>36</v>
      </c>
      <c r="D284" s="239" t="str">
        <f>'Оборудование и материалы'!$A$120</f>
        <v>Трансформаторы тока 200/5, кл. 0,5S  У3 (Т-0,66-1-0,5S-5ВА-200/5 У3)</v>
      </c>
      <c r="E284" s="235" t="s">
        <v>7</v>
      </c>
      <c r="F284" s="118">
        <f t="shared" si="11"/>
        <v>12</v>
      </c>
      <c r="G284" s="75"/>
      <c r="H284" s="82"/>
    </row>
    <row r="285" spans="1:8" ht="13.7" customHeight="1" x14ac:dyDescent="0.25">
      <c r="B285" s="23"/>
      <c r="C285" s="239" t="s">
        <v>37</v>
      </c>
      <c r="D285" s="239" t="str">
        <f>'Оборудование и материалы'!$A$121</f>
        <v>Трансформаторы тока 300/5, кл. 0,5S  У3 (Т-0,66-2-0,5S-5ВА-300/5 У3)</v>
      </c>
      <c r="E285" s="235" t="s">
        <v>7</v>
      </c>
      <c r="F285" s="118">
        <f t="shared" si="11"/>
        <v>0</v>
      </c>
      <c r="G285" s="75"/>
      <c r="H285" s="82"/>
    </row>
    <row r="286" spans="1:8" ht="13.7" customHeight="1" x14ac:dyDescent="0.25">
      <c r="B286" s="23"/>
      <c r="C286" s="239" t="s">
        <v>38</v>
      </c>
      <c r="D286" s="239" t="str">
        <f>'Оборудование и материалы'!$A$122</f>
        <v>Трансформаторы тока 400/5, кл. 0,5S  У3 (Т-0,66-2-0,5S-5ВА-400/5 У3)</v>
      </c>
      <c r="E286" s="235" t="s">
        <v>7</v>
      </c>
      <c r="F286" s="118">
        <f t="shared" si="11"/>
        <v>3</v>
      </c>
      <c r="G286" s="75"/>
      <c r="H286" s="82"/>
    </row>
    <row r="287" spans="1:8" ht="13.7" customHeight="1" x14ac:dyDescent="0.25">
      <c r="B287" s="23"/>
      <c r="C287" s="239" t="s">
        <v>39</v>
      </c>
      <c r="D287" s="239" t="str">
        <f>'Оборудование и материалы'!$A$123</f>
        <v>Трансформаторы тока 600/5, кл. 0,5S  У3 (Т-0,66-3-0,5S-5ВА-600/5 У3)</v>
      </c>
      <c r="E287" s="235" t="s">
        <v>7</v>
      </c>
      <c r="F287" s="118">
        <f t="shared" si="11"/>
        <v>0</v>
      </c>
      <c r="G287" s="75"/>
      <c r="H287" s="82"/>
    </row>
    <row r="288" spans="1:8" ht="13.7" customHeight="1" x14ac:dyDescent="0.25">
      <c r="B288" s="23"/>
      <c r="C288" s="239" t="s">
        <v>40</v>
      </c>
      <c r="D288" s="239" t="str">
        <f>'Оборудование и материалы'!$A$124</f>
        <v>Трансформаторы тока 800/5, кл. 0,5S  У3 (ТШП-0,66 800/5 0,5 S)</v>
      </c>
      <c r="E288" s="235" t="s">
        <v>7</v>
      </c>
      <c r="F288" s="118">
        <f t="shared" si="11"/>
        <v>0</v>
      </c>
      <c r="G288" s="75"/>
      <c r="H288" s="82"/>
    </row>
    <row r="289" spans="2:8" ht="13.7" customHeight="1" x14ac:dyDescent="0.25">
      <c r="B289" s="23"/>
      <c r="C289" s="239" t="s">
        <v>137</v>
      </c>
      <c r="D289" s="239" t="str">
        <f>'Оборудование и материалы'!$A$125</f>
        <v>Трансформаторы тока 1000/5, кл. 0,5S  У3 (ТШП-0,66-10-0,5S-1000/5 У3)</v>
      </c>
      <c r="E289" s="235" t="s">
        <v>7</v>
      </c>
      <c r="F289" s="118">
        <f t="shared" si="11"/>
        <v>0</v>
      </c>
      <c r="G289" s="75"/>
      <c r="H289" s="82"/>
    </row>
    <row r="290" spans="2:8" ht="13.7" customHeight="1" x14ac:dyDescent="0.25">
      <c r="B290" s="23"/>
      <c r="C290" s="239" t="s">
        <v>138</v>
      </c>
      <c r="D290" s="239" t="str">
        <f>'Оборудование и материалы'!$A$126</f>
        <v>Трансформаторы тока 1200/5, кл. 0,5S  У3 (Т-0,66-М У3  1200/5  0,5S)</v>
      </c>
      <c r="E290" s="235" t="s">
        <v>7</v>
      </c>
      <c r="F290" s="118">
        <f t="shared" si="11"/>
        <v>0</v>
      </c>
      <c r="G290" s="75"/>
      <c r="H290" s="82"/>
    </row>
    <row r="291" spans="2:8" ht="13.7" customHeight="1" x14ac:dyDescent="0.25">
      <c r="B291" s="23"/>
      <c r="C291" s="239" t="s">
        <v>41</v>
      </c>
      <c r="D291" s="239" t="str">
        <f>'Оборудование и материалы'!$A$127</f>
        <v>Трансформаторы тока 1500/5, кл. 0,5S  У3 (ТШП-0,66-10-0,5S-1500/5 У3)</v>
      </c>
      <c r="E291" s="235" t="s">
        <v>7</v>
      </c>
      <c r="F291" s="118">
        <f t="shared" si="11"/>
        <v>0</v>
      </c>
      <c r="G291" s="75"/>
      <c r="H291" s="82"/>
    </row>
    <row r="292" spans="2:8" ht="13.7" customHeight="1" x14ac:dyDescent="0.25">
      <c r="B292" s="23"/>
      <c r="C292" s="239"/>
      <c r="D292" s="239" t="str">
        <f>'Оборудование и материалы'!$A$128</f>
        <v>Трансформаторы тока 2000/5, кл. 0,5S  У3 (Т-0,66 М 2000/5 0,5S)</v>
      </c>
      <c r="E292" s="235"/>
      <c r="F292" s="118">
        <f t="shared" si="11"/>
        <v>0</v>
      </c>
      <c r="G292" s="75"/>
      <c r="H292" s="82"/>
    </row>
    <row r="293" spans="2:8" ht="13.7" customHeight="1" x14ac:dyDescent="0.25">
      <c r="B293" s="23"/>
      <c r="C293" s="239"/>
      <c r="D293" s="239"/>
      <c r="E293" s="235"/>
      <c r="F293" s="118"/>
      <c r="G293" s="75"/>
      <c r="H293" s="82"/>
    </row>
    <row r="294" spans="2:8" ht="13.7" customHeight="1" x14ac:dyDescent="0.25">
      <c r="B294" s="23"/>
      <c r="C294" s="77" t="s">
        <v>25</v>
      </c>
      <c r="D294" s="77" t="str">
        <f>'Оборудование и материалы'!$A$143</f>
        <v>Испытательная коробка (КИ10, ИКК)</v>
      </c>
      <c r="E294" s="78" t="s">
        <v>7</v>
      </c>
      <c r="F294" s="79">
        <f>G182+G215</f>
        <v>41</v>
      </c>
      <c r="G294" s="75"/>
      <c r="H294" s="81"/>
    </row>
    <row r="295" spans="2:8" ht="13.7" customHeight="1" x14ac:dyDescent="0.25">
      <c r="B295" s="23"/>
      <c r="C295" s="77" t="s">
        <v>47</v>
      </c>
      <c r="D295" s="77" t="str">
        <f>'Оборудование и материалы'!$A$139</f>
        <v>Термик С-0,1(400*440*40)+EBERLE 16A TP-1</v>
      </c>
      <c r="E295" s="78" t="s">
        <v>7</v>
      </c>
      <c r="F295" s="79">
        <f>G195</f>
        <v>9</v>
      </c>
      <c r="G295" s="75"/>
      <c r="H295" s="81"/>
    </row>
    <row r="296" spans="2:8" ht="13.7" customHeight="1" x14ac:dyDescent="0.25">
      <c r="B296" s="23"/>
      <c r="C296" s="77"/>
      <c r="D296" s="77"/>
      <c r="E296" s="78"/>
      <c r="F296" s="81"/>
      <c r="G296" s="75"/>
      <c r="H296" s="81"/>
    </row>
    <row r="297" spans="2:8" ht="13.7" customHeight="1" x14ac:dyDescent="0.25">
      <c r="B297" s="23"/>
      <c r="C297" s="265" t="s">
        <v>109</v>
      </c>
      <c r="D297" s="265"/>
      <c r="E297" s="78"/>
      <c r="F297" s="81"/>
      <c r="G297" s="75"/>
      <c r="H297" s="81"/>
    </row>
    <row r="298" spans="2:8" ht="13.7" customHeight="1" x14ac:dyDescent="0.25">
      <c r="B298" s="23"/>
      <c r="C298" s="77"/>
      <c r="D298" s="77"/>
      <c r="E298" s="78"/>
      <c r="F298" s="81"/>
      <c r="G298" s="75"/>
      <c r="H298" s="81"/>
    </row>
    <row r="299" spans="2:8" ht="13.7" customHeight="1" x14ac:dyDescent="0.25">
      <c r="B299" s="23"/>
      <c r="C299" s="77" t="s">
        <v>12</v>
      </c>
      <c r="D299" s="251" t="str">
        <f>'Оборудование и материалы'!$A$91</f>
        <v>Провод СИП4 2х16 мм2</v>
      </c>
      <c r="E299" s="78" t="s">
        <v>8</v>
      </c>
      <c r="F299" s="79">
        <f>G11+G26+G42+G100+G115+G131</f>
        <v>8600</v>
      </c>
      <c r="G299" s="75"/>
      <c r="H299" s="246"/>
    </row>
    <row r="300" spans="2:8" ht="13.7" customHeight="1" x14ac:dyDescent="0.25">
      <c r="B300" s="23"/>
      <c r="C300" s="77" t="s">
        <v>22</v>
      </c>
      <c r="D300" s="77" t="str">
        <f>'Оборудование и материалы'!$A$92</f>
        <v>Провод СИП4 4х25 мм2</v>
      </c>
      <c r="E300" s="78" t="s">
        <v>8</v>
      </c>
      <c r="F300" s="79">
        <f>G58+G73+G89+G144+G159</f>
        <v>3050</v>
      </c>
      <c r="G300" s="75"/>
      <c r="H300" s="246"/>
    </row>
    <row r="301" spans="2:8" ht="13.7" customHeight="1" x14ac:dyDescent="0.25">
      <c r="B301" s="23"/>
      <c r="C301" s="77" t="s">
        <v>69</v>
      </c>
      <c r="D301" s="77" t="str">
        <f>'Оборудование и материалы'!$A$93</f>
        <v xml:space="preserve">Кабель АВВГнг LS 2х16 мм2 </v>
      </c>
      <c r="E301" s="78" t="s">
        <v>8</v>
      </c>
      <c r="F301" s="79">
        <f>G27+G50+G116</f>
        <v>420</v>
      </c>
      <c r="G301" s="75"/>
      <c r="H301" s="246"/>
    </row>
    <row r="302" spans="2:8" ht="13.7" customHeight="1" x14ac:dyDescent="0.25">
      <c r="B302" s="23"/>
      <c r="C302" s="77" t="s">
        <v>69</v>
      </c>
      <c r="D302" s="77" t="str">
        <f>'Оборудование и материалы'!$A$94</f>
        <v xml:space="preserve">Кабель АВВГнг LS 4х25 мм2 </v>
      </c>
      <c r="E302" s="78" t="s">
        <v>8</v>
      </c>
      <c r="F302" s="79">
        <f>G74+G160+G208</f>
        <v>0</v>
      </c>
      <c r="G302" s="75"/>
      <c r="H302" s="246"/>
    </row>
    <row r="303" spans="2:8" ht="13.7" customHeight="1" x14ac:dyDescent="0.25">
      <c r="B303" s="23"/>
      <c r="C303" s="77" t="s">
        <v>68</v>
      </c>
      <c r="D303" s="77" t="str">
        <f>'Оборудование и материалы'!A98</f>
        <v>Кабель ВВГнг-LS 3*2,5</v>
      </c>
      <c r="E303" s="78" t="s">
        <v>8</v>
      </c>
      <c r="F303" s="79">
        <f>G209</f>
        <v>0</v>
      </c>
      <c r="G303" s="75"/>
      <c r="H303" s="246"/>
    </row>
    <row r="304" spans="2:8" ht="13.7" customHeight="1" x14ac:dyDescent="0.25">
      <c r="B304" s="23"/>
      <c r="C304" s="77" t="s">
        <v>68</v>
      </c>
      <c r="D304" s="77" t="str">
        <f>'Оборудование и материалы'!$A$96</f>
        <v xml:space="preserve">Кабель контрольный ВВГнг-LS 4*2,5 </v>
      </c>
      <c r="E304" s="78" t="s">
        <v>8</v>
      </c>
      <c r="F304" s="119">
        <f>G210</f>
        <v>160</v>
      </c>
      <c r="G304" s="75"/>
      <c r="H304" s="246"/>
    </row>
    <row r="305" spans="2:8" ht="13.7" customHeight="1" x14ac:dyDescent="0.25">
      <c r="B305" s="23"/>
      <c r="C305" s="77" t="s">
        <v>68</v>
      </c>
      <c r="D305" s="77" t="str">
        <f>'Оборудование и материалы'!$A$97</f>
        <v xml:space="preserve">Кабель контрольный КВВГнг-LS 7*2,5 </v>
      </c>
      <c r="E305" s="78" t="s">
        <v>8</v>
      </c>
      <c r="F305" s="79">
        <f>G211</f>
        <v>88</v>
      </c>
      <c r="G305" s="75"/>
      <c r="H305" s="246"/>
    </row>
    <row r="306" spans="2:8" ht="13.7" customHeight="1" x14ac:dyDescent="0.25">
      <c r="B306" s="23"/>
      <c r="C306" s="77" t="s">
        <v>53</v>
      </c>
      <c r="D306" s="77" t="str">
        <f>'Оборудование и материалы'!$A$100</f>
        <v xml:space="preserve">Кабель ПВ-1 1*2,5 </v>
      </c>
      <c r="E306" s="78" t="s">
        <v>8</v>
      </c>
      <c r="F306" s="79">
        <f>G212</f>
        <v>66</v>
      </c>
      <c r="G306" s="75"/>
      <c r="H306" s="246"/>
    </row>
    <row r="307" spans="2:8" ht="13.7" customHeight="1" x14ac:dyDescent="0.25">
      <c r="B307" s="23"/>
      <c r="C307" s="77" t="s">
        <v>144</v>
      </c>
      <c r="D307" s="77" t="str">
        <f>'Оборудование и материалы'!$A$101</f>
        <v>Кабель ПВ-3 1*10</v>
      </c>
      <c r="E307" s="78" t="s">
        <v>8</v>
      </c>
      <c r="F307" s="79">
        <f>G213</f>
        <v>90</v>
      </c>
      <c r="G307" s="75"/>
      <c r="H307" s="246"/>
    </row>
    <row r="308" spans="2:8" ht="13.7" customHeight="1" x14ac:dyDescent="0.25">
      <c r="B308" s="23"/>
      <c r="C308" s="77" t="s">
        <v>113</v>
      </c>
      <c r="D308" s="77" t="s">
        <v>114</v>
      </c>
      <c r="E308" s="78" t="s">
        <v>8</v>
      </c>
      <c r="F308" s="79">
        <f>G207</f>
        <v>90</v>
      </c>
      <c r="G308" s="75"/>
      <c r="H308" s="246"/>
    </row>
    <row r="309" spans="2:8" ht="13.7" customHeight="1" x14ac:dyDescent="0.25">
      <c r="B309" s="23"/>
      <c r="C309" s="77"/>
      <c r="D309" s="77"/>
      <c r="E309" s="78"/>
      <c r="F309" s="79"/>
      <c r="G309" s="75"/>
      <c r="H309" s="246"/>
    </row>
    <row r="310" spans="2:8" ht="13.7" customHeight="1" x14ac:dyDescent="0.25">
      <c r="B310" s="23"/>
      <c r="C310" s="77"/>
      <c r="D310" s="77"/>
      <c r="E310" s="78"/>
      <c r="F310" s="79"/>
      <c r="G310" s="75"/>
      <c r="H310" s="246"/>
    </row>
    <row r="311" spans="2:8" ht="13.7" customHeight="1" x14ac:dyDescent="0.25">
      <c r="B311" s="23"/>
      <c r="C311" s="236" t="s">
        <v>112</v>
      </c>
      <c r="D311" s="140" t="str">
        <f>'Оборудование и материалы'!$A$108</f>
        <v>Герметичный  прокалывающий зажим SLIW 50</v>
      </c>
      <c r="E311" s="78" t="s">
        <v>7</v>
      </c>
      <c r="F311" s="79"/>
      <c r="G311" s="75"/>
      <c r="H311" s="246"/>
    </row>
    <row r="312" spans="2:8" ht="13.7" customHeight="1" x14ac:dyDescent="0.25">
      <c r="B312" s="23"/>
      <c r="C312" s="236" t="s">
        <v>158</v>
      </c>
      <c r="D312" s="137" t="str">
        <f>'Оборудование и материалы'!$A$109</f>
        <v>Влагозащищенный прокалывающий зажим SLIP 12.1</v>
      </c>
      <c r="E312" s="78" t="s">
        <v>7</v>
      </c>
      <c r="F312" s="79">
        <f>G12+G28+G43+G59+G75+G90+G101+G117+G132+G145+G161</f>
        <v>1176</v>
      </c>
      <c r="G312" s="75"/>
      <c r="H312" s="246"/>
    </row>
    <row r="313" spans="2:8" ht="13.7" customHeight="1" x14ac:dyDescent="0.25">
      <c r="B313" s="23"/>
      <c r="C313" s="236" t="s">
        <v>158</v>
      </c>
      <c r="D313" s="137" t="str">
        <f>'Оборудование и материалы'!$A$110</f>
        <v>Влагозащищенный прокалывающий зажим SLIP 12.127</v>
      </c>
      <c r="E313" s="78" t="s">
        <v>7</v>
      </c>
      <c r="F313" s="79">
        <f>G13+G29+G60+G76+G102+G118+G146+G162</f>
        <v>1176</v>
      </c>
      <c r="G313" s="75"/>
      <c r="H313" s="246"/>
    </row>
    <row r="314" spans="2:8" ht="13.7" customHeight="1" x14ac:dyDescent="0.25">
      <c r="B314" s="23"/>
      <c r="C314" s="77" t="s">
        <v>13</v>
      </c>
      <c r="D314" s="77" t="str">
        <f>'Оборудование и материалы'!$A$111</f>
        <v>Анкерный зажим SO158.1</v>
      </c>
      <c r="E314" s="78" t="s">
        <v>7</v>
      </c>
      <c r="F314" s="79">
        <f>G14+G30+G61+G77+G103+G119+G147+G163</f>
        <v>932</v>
      </c>
      <c r="G314" s="75"/>
      <c r="H314" s="246"/>
    </row>
    <row r="315" spans="2:8" ht="13.7" customHeight="1" x14ac:dyDescent="0.25">
      <c r="B315" s="23"/>
      <c r="C315" s="77" t="s">
        <v>13</v>
      </c>
      <c r="D315" s="77" t="str">
        <f>'Оборудование и материалы'!$A$112</f>
        <v>Анкерный кронштейн SO253</v>
      </c>
      <c r="E315" s="78" t="s">
        <v>7</v>
      </c>
      <c r="F315" s="79">
        <f>G15+G31+G62+G78+G104+G120+G148+G164</f>
        <v>466</v>
      </c>
      <c r="G315" s="75"/>
      <c r="H315" s="246"/>
    </row>
    <row r="316" spans="2:8" ht="13.7" customHeight="1" x14ac:dyDescent="0.25">
      <c r="B316" s="23"/>
      <c r="C316" s="77" t="s">
        <v>14</v>
      </c>
      <c r="D316" s="77" t="str">
        <f>'Оборудование и материалы'!$A$113</f>
        <v>Крюк-болт  (Анкерный крюк) SOT16.12</v>
      </c>
      <c r="E316" s="78" t="s">
        <v>7</v>
      </c>
      <c r="F316" s="79">
        <f>G16+G32+G63+G79+G105+G121+G149+G165</f>
        <v>466</v>
      </c>
      <c r="G316" s="75"/>
      <c r="H316" s="246"/>
    </row>
    <row r="317" spans="2:8" ht="13.7" customHeight="1" x14ac:dyDescent="0.25">
      <c r="B317" s="23"/>
      <c r="C317" s="77" t="s">
        <v>15</v>
      </c>
      <c r="D317" s="77" t="str">
        <f>'Оборудование и материалы'!$A$114</f>
        <v>Монтажная стальная лента из нержавеющей стали  COT37</v>
      </c>
      <c r="E317" s="78" t="s">
        <v>7</v>
      </c>
      <c r="F317" s="79">
        <f>G17+G33+G64+G80+G91+G106+G122+G150+G166</f>
        <v>1176</v>
      </c>
      <c r="G317" s="75"/>
      <c r="H317" s="246"/>
    </row>
    <row r="318" spans="2:8" ht="13.7" customHeight="1" x14ac:dyDescent="0.25">
      <c r="B318" s="23"/>
      <c r="C318" s="77" t="s">
        <v>9</v>
      </c>
      <c r="D318" s="77" t="str">
        <f>'Оборудование и материалы'!$A$115</f>
        <v>Скрепа COT36</v>
      </c>
      <c r="E318" s="78" t="s">
        <v>7</v>
      </c>
      <c r="F318" s="79">
        <f>G18+G34+G65+G81+G92+G107+G123+G151+G167</f>
        <v>1176</v>
      </c>
      <c r="G318" s="75"/>
      <c r="H318" s="246"/>
    </row>
    <row r="319" spans="2:8" ht="13.7" customHeight="1" x14ac:dyDescent="0.25">
      <c r="B319" s="23"/>
      <c r="C319" s="23"/>
      <c r="D319" s="23"/>
      <c r="E319" s="23"/>
      <c r="F319" s="81"/>
      <c r="G319" s="75"/>
      <c r="H319" s="81"/>
    </row>
    <row r="320" spans="2:8" ht="13.7" customHeight="1" x14ac:dyDescent="0.25">
      <c r="B320" s="23"/>
      <c r="C320" s="23" t="s">
        <v>23</v>
      </c>
      <c r="D320" s="23" t="s">
        <v>51</v>
      </c>
      <c r="E320" s="23" t="s">
        <v>8</v>
      </c>
      <c r="F320" s="79"/>
      <c r="G320" s="75"/>
      <c r="H320" s="81"/>
    </row>
    <row r="321" spans="2:8" ht="13.7" customHeight="1" x14ac:dyDescent="0.25">
      <c r="B321" s="23"/>
      <c r="C321" s="23" t="s">
        <v>48</v>
      </c>
      <c r="D321" s="23" t="s">
        <v>51</v>
      </c>
      <c r="E321" s="23" t="s">
        <v>8</v>
      </c>
      <c r="F321" s="79">
        <f>G218</f>
        <v>144</v>
      </c>
      <c r="G321" s="75"/>
      <c r="H321" s="81"/>
    </row>
    <row r="322" spans="2:8" ht="13.7" customHeight="1" x14ac:dyDescent="0.25">
      <c r="B322" s="23"/>
      <c r="C322" s="23"/>
      <c r="D322" s="23"/>
      <c r="E322" s="23"/>
      <c r="F322" s="81"/>
      <c r="G322" s="75"/>
      <c r="H322" s="81"/>
    </row>
    <row r="323" spans="2:8" ht="13.7" customHeight="1" x14ac:dyDescent="0.25">
      <c r="B323" s="23"/>
      <c r="C323" s="23" t="s">
        <v>140</v>
      </c>
      <c r="D323" s="139" t="s">
        <v>141</v>
      </c>
      <c r="E323" s="23" t="s">
        <v>7</v>
      </c>
      <c r="F323" s="79"/>
      <c r="G323" s="75"/>
      <c r="H323" s="81"/>
    </row>
    <row r="324" spans="2:8" ht="13.7" customHeight="1" x14ac:dyDescent="0.25">
      <c r="B324" s="23"/>
      <c r="C324" s="23" t="s">
        <v>70</v>
      </c>
      <c r="D324" s="139" t="s">
        <v>71</v>
      </c>
      <c r="E324" s="23" t="s">
        <v>7</v>
      </c>
      <c r="F324" s="79"/>
      <c r="G324" s="75"/>
      <c r="H324" s="81"/>
    </row>
    <row r="325" spans="2:8" ht="13.7" customHeight="1" x14ac:dyDescent="0.25">
      <c r="B325" s="23"/>
      <c r="C325" s="23" t="s">
        <v>130</v>
      </c>
      <c r="D325" s="139" t="s">
        <v>130</v>
      </c>
      <c r="E325" s="23" t="s">
        <v>7</v>
      </c>
      <c r="F325" s="79">
        <f>G223</f>
        <v>120</v>
      </c>
      <c r="G325" s="75"/>
      <c r="H325" s="81"/>
    </row>
    <row r="326" spans="2:8" ht="13.7" customHeight="1" x14ac:dyDescent="0.25">
      <c r="B326" s="23"/>
      <c r="C326" s="23" t="s">
        <v>129</v>
      </c>
      <c r="D326" s="139" t="s">
        <v>145</v>
      </c>
      <c r="E326" s="23" t="s">
        <v>7</v>
      </c>
      <c r="F326" s="79">
        <f>G225</f>
        <v>18</v>
      </c>
      <c r="G326" s="75"/>
      <c r="H326" s="81"/>
    </row>
    <row r="327" spans="2:8" ht="13.7" customHeight="1" x14ac:dyDescent="0.25">
      <c r="B327" s="23"/>
      <c r="C327" s="23" t="s">
        <v>129</v>
      </c>
      <c r="D327" s="139" t="s">
        <v>160</v>
      </c>
      <c r="E327" s="23" t="s">
        <v>7</v>
      </c>
      <c r="F327" s="79">
        <f>G226</f>
        <v>0</v>
      </c>
      <c r="G327" s="75"/>
      <c r="H327" s="81"/>
    </row>
    <row r="328" spans="2:8" ht="13.7" customHeight="1" x14ac:dyDescent="0.25">
      <c r="B328" s="23"/>
      <c r="C328" s="23"/>
      <c r="D328" s="120"/>
      <c r="E328" s="23"/>
      <c r="F328" s="81"/>
      <c r="G328" s="75"/>
      <c r="H328" s="81"/>
    </row>
    <row r="329" spans="2:8" ht="13.7" customHeight="1" x14ac:dyDescent="0.25">
      <c r="B329" s="23"/>
      <c r="C329" s="23" t="s">
        <v>32</v>
      </c>
      <c r="D329" s="23" t="s">
        <v>52</v>
      </c>
      <c r="E329" s="23" t="s">
        <v>7</v>
      </c>
      <c r="F329" s="79"/>
      <c r="G329" s="75"/>
      <c r="H329" s="81"/>
    </row>
    <row r="330" spans="2:8" ht="13.7" customHeight="1" x14ac:dyDescent="0.25">
      <c r="B330" s="23"/>
      <c r="C330" s="23" t="s">
        <v>58</v>
      </c>
      <c r="D330" s="23" t="s">
        <v>155</v>
      </c>
      <c r="E330" s="23" t="s">
        <v>7</v>
      </c>
      <c r="F330" s="79">
        <f>G193</f>
        <v>18</v>
      </c>
      <c r="G330" s="75"/>
      <c r="H330" s="81"/>
    </row>
    <row r="331" spans="2:8" ht="13.7" customHeight="1" x14ac:dyDescent="0.25">
      <c r="B331" s="23"/>
      <c r="C331" s="23" t="s">
        <v>42</v>
      </c>
      <c r="D331" s="23" t="s">
        <v>49</v>
      </c>
      <c r="E331" s="23" t="s">
        <v>7</v>
      </c>
      <c r="F331" s="79">
        <f>G216</f>
        <v>18</v>
      </c>
      <c r="G331" s="75"/>
      <c r="H331" s="81"/>
    </row>
    <row r="332" spans="2:8" ht="13.7" customHeight="1" x14ac:dyDescent="0.25">
      <c r="B332" s="23">
        <v>13.75</v>
      </c>
      <c r="C332" s="23" t="s">
        <v>43</v>
      </c>
      <c r="D332" s="23" t="s">
        <v>43</v>
      </c>
      <c r="E332" s="23" t="s">
        <v>7</v>
      </c>
      <c r="F332" s="79">
        <f>G217</f>
        <v>9</v>
      </c>
      <c r="G332" s="75"/>
      <c r="H332" s="81"/>
    </row>
    <row r="333" spans="2:8" ht="13.7" customHeight="1" x14ac:dyDescent="0.25">
      <c r="B333" s="23"/>
      <c r="C333" s="23"/>
      <c r="D333" s="23"/>
      <c r="E333" s="23"/>
      <c r="F333" s="81"/>
      <c r="G333" s="75"/>
      <c r="H333" s="81"/>
    </row>
    <row r="334" spans="2:8" ht="13.7" customHeight="1" x14ac:dyDescent="0.25">
      <c r="B334" s="23"/>
      <c r="C334" s="23" t="s">
        <v>44</v>
      </c>
      <c r="D334" s="23" t="s">
        <v>50</v>
      </c>
      <c r="E334" s="23" t="s">
        <v>7</v>
      </c>
      <c r="F334" s="79">
        <f>G219</f>
        <v>9</v>
      </c>
      <c r="G334" s="75"/>
      <c r="H334" s="81"/>
    </row>
    <row r="335" spans="2:8" ht="13.7" customHeight="1" x14ac:dyDescent="0.25">
      <c r="B335" s="23"/>
      <c r="C335" s="23" t="s">
        <v>57</v>
      </c>
      <c r="D335" s="23" t="s">
        <v>75</v>
      </c>
      <c r="E335" s="23" t="s">
        <v>7</v>
      </c>
      <c r="F335" s="79"/>
      <c r="G335" s="75"/>
      <c r="H335" s="81"/>
    </row>
    <row r="336" spans="2:8" ht="13.7" customHeight="1" x14ac:dyDescent="0.25">
      <c r="B336" s="23"/>
      <c r="C336" s="23"/>
      <c r="D336" s="23"/>
      <c r="E336" s="23"/>
      <c r="F336" s="81"/>
      <c r="G336" s="45"/>
      <c r="H336" s="81"/>
    </row>
    <row r="337" spans="2:8" ht="13.7" customHeight="1" x14ac:dyDescent="0.25">
      <c r="B337" s="23"/>
      <c r="C337" s="23"/>
      <c r="D337" s="23"/>
      <c r="E337" s="23"/>
      <c r="F337" s="81"/>
      <c r="G337" s="45"/>
      <c r="H337" s="81"/>
    </row>
    <row r="338" spans="2:8" ht="13.7" customHeight="1" x14ac:dyDescent="0.25"/>
    <row r="339" spans="2:8" ht="13.7" customHeight="1" x14ac:dyDescent="0.25"/>
    <row r="340" spans="2:8" ht="13.7" customHeight="1" x14ac:dyDescent="0.25"/>
    <row r="341" spans="2:8" ht="13.7" customHeight="1" x14ac:dyDescent="0.25"/>
  </sheetData>
  <mergeCells count="11">
    <mergeCell ref="G5:G6"/>
    <mergeCell ref="H5:H6"/>
    <mergeCell ref="A7:H7"/>
    <mergeCell ref="B264:H264"/>
    <mergeCell ref="C297:D297"/>
    <mergeCell ref="A5:A6"/>
    <mergeCell ref="B5:B6"/>
    <mergeCell ref="C5:C6"/>
    <mergeCell ref="D5:D6"/>
    <mergeCell ref="E5:E6"/>
    <mergeCell ref="F5:F6"/>
  </mergeCells>
  <pageMargins left="0" right="0" top="0" bottom="0" header="0" footer="0"/>
  <pageSetup paperSize="9" scale="53" fitToHeight="0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342"/>
  <sheetViews>
    <sheetView view="pageBreakPreview" topLeftCell="A196" zoomScaleNormal="60" zoomScaleSheetLayoutView="100" workbookViewId="0">
      <selection activeCell="G215" sqref="G215"/>
    </sheetView>
  </sheetViews>
  <sheetFormatPr defaultRowHeight="15" x14ac:dyDescent="0.25"/>
  <cols>
    <col min="1" max="1" width="4.625" style="243" customWidth="1"/>
    <col min="2" max="2" width="5" style="243" customWidth="1"/>
    <col min="3" max="3" width="41" style="243" customWidth="1"/>
    <col min="4" max="4" width="80" style="243" customWidth="1"/>
    <col min="5" max="5" width="4.75" style="243" customWidth="1"/>
    <col min="6" max="6" width="14.25" style="83" customWidth="1"/>
    <col min="7" max="7" width="10.25" style="243" customWidth="1"/>
    <col min="8" max="8" width="14.625" style="243" customWidth="1"/>
    <col min="9" max="16384" width="9" style="243"/>
  </cols>
  <sheetData>
    <row r="1" spans="1:8" ht="20.25" x14ac:dyDescent="0.25">
      <c r="B1" s="44"/>
      <c r="C1" s="44"/>
      <c r="E1" s="244"/>
      <c r="F1" s="244" t="s">
        <v>437</v>
      </c>
      <c r="G1" s="244"/>
      <c r="H1" s="244"/>
    </row>
    <row r="2" spans="1:8" ht="20.25" x14ac:dyDescent="0.25">
      <c r="B2" s="44"/>
      <c r="C2" s="44"/>
      <c r="E2" s="244"/>
      <c r="F2" s="244"/>
      <c r="G2" s="244"/>
      <c r="H2" s="244"/>
    </row>
    <row r="3" spans="1:8" ht="18.75" x14ac:dyDescent="0.3">
      <c r="B3" s="44"/>
      <c r="C3" s="44"/>
      <c r="D3" s="234" t="s">
        <v>453</v>
      </c>
      <c r="H3" s="84"/>
    </row>
    <row r="4" spans="1:8" x14ac:dyDescent="0.25">
      <c r="A4" s="46"/>
    </row>
    <row r="5" spans="1:8" ht="34.5" customHeight="1" x14ac:dyDescent="0.25">
      <c r="A5" s="262" t="s">
        <v>10</v>
      </c>
      <c r="B5" s="262" t="s">
        <v>0</v>
      </c>
      <c r="C5" s="262" t="s">
        <v>1</v>
      </c>
      <c r="D5" s="262" t="s">
        <v>2</v>
      </c>
      <c r="E5" s="262" t="s">
        <v>11</v>
      </c>
      <c r="F5" s="266" t="s">
        <v>17</v>
      </c>
      <c r="G5" s="262" t="s">
        <v>3</v>
      </c>
      <c r="H5" s="262" t="s">
        <v>4</v>
      </c>
    </row>
    <row r="6" spans="1:8" ht="26.25" customHeight="1" x14ac:dyDescent="0.25">
      <c r="A6" s="262"/>
      <c r="B6" s="262"/>
      <c r="C6" s="262"/>
      <c r="D6" s="262"/>
      <c r="E6" s="262"/>
      <c r="F6" s="267"/>
      <c r="G6" s="262"/>
      <c r="H6" s="262"/>
    </row>
    <row r="7" spans="1:8" ht="22.5" customHeight="1" x14ac:dyDescent="0.25">
      <c r="A7" s="263" t="s">
        <v>5</v>
      </c>
      <c r="B7" s="263"/>
      <c r="C7" s="263"/>
      <c r="D7" s="263"/>
      <c r="E7" s="263"/>
      <c r="F7" s="263"/>
      <c r="G7" s="263"/>
      <c r="H7" s="263"/>
    </row>
    <row r="8" spans="1:8" ht="13.7" customHeight="1" x14ac:dyDescent="0.25">
      <c r="A8" s="47"/>
      <c r="B8" s="47"/>
      <c r="C8" s="48" t="s">
        <v>19</v>
      </c>
      <c r="D8" s="47"/>
      <c r="E8" s="47"/>
      <c r="F8" s="66"/>
      <c r="G8" s="47"/>
      <c r="H8" s="47"/>
    </row>
    <row r="9" spans="1:8" ht="13.7" customHeight="1" x14ac:dyDescent="0.25">
      <c r="A9" s="49"/>
      <c r="B9" s="50"/>
      <c r="C9" s="175" t="s">
        <v>20</v>
      </c>
      <c r="D9" s="165"/>
      <c r="E9" s="50"/>
      <c r="F9" s="138"/>
      <c r="G9" s="50"/>
      <c r="H9" s="51"/>
    </row>
    <row r="10" spans="1:8" ht="57.75" customHeight="1" x14ac:dyDescent="0.25">
      <c r="A10" s="52"/>
      <c r="B10" s="52"/>
      <c r="C10" s="21" t="s">
        <v>6</v>
      </c>
      <c r="D10" s="123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10" s="233" t="s">
        <v>7</v>
      </c>
      <c r="F10" s="64">
        <f>'Оборудование и материалы'!D16</f>
        <v>10681.745762711864</v>
      </c>
      <c r="G10" s="245">
        <v>150</v>
      </c>
      <c r="H10" s="64">
        <f t="shared" ref="H10:H19" si="0">F10*G10</f>
        <v>1602261.8644067796</v>
      </c>
    </row>
    <row r="11" spans="1:8" ht="13.7" customHeight="1" x14ac:dyDescent="0.25">
      <c r="A11" s="52"/>
      <c r="B11" s="52"/>
      <c r="C11" s="21" t="s">
        <v>12</v>
      </c>
      <c r="D11" s="1" t="str">
        <f>'Оборудование и материалы'!$A$91</f>
        <v>Провод СИП4 2х16 мм2</v>
      </c>
      <c r="E11" s="233" t="s">
        <v>8</v>
      </c>
      <c r="F11" s="64">
        <f>'Оборудование и материалы'!$D$91</f>
        <v>38.964228813559323</v>
      </c>
      <c r="G11" s="31">
        <f>G10*25</f>
        <v>3750</v>
      </c>
      <c r="H11" s="64">
        <f t="shared" si="0"/>
        <v>146115.85805084746</v>
      </c>
    </row>
    <row r="12" spans="1:8" ht="13.7" customHeight="1" x14ac:dyDescent="0.25">
      <c r="A12" s="52"/>
      <c r="B12" s="52"/>
      <c r="C12" s="19" t="s">
        <v>158</v>
      </c>
      <c r="D12" s="10" t="str">
        <f>'Оборудование и материалы'!$A$109</f>
        <v>Влагозащищенный прокалывающий зажим SLIP 12.1</v>
      </c>
      <c r="E12" s="233" t="s">
        <v>7</v>
      </c>
      <c r="F12" s="64">
        <f>'Оборудование и материалы'!$D$109</f>
        <v>200.90724456279662</v>
      </c>
      <c r="G12" s="31">
        <f>G10*2</f>
        <v>300</v>
      </c>
      <c r="H12" s="64">
        <f t="shared" si="0"/>
        <v>60272.173368838987</v>
      </c>
    </row>
    <row r="13" spans="1:8" ht="13.7" customHeight="1" x14ac:dyDescent="0.25">
      <c r="A13" s="52"/>
      <c r="B13" s="52"/>
      <c r="C13" s="19" t="s">
        <v>158</v>
      </c>
      <c r="D13" s="10" t="str">
        <f>'Оборудование и материалы'!$A$110</f>
        <v>Влагозащищенный прокалывающий зажим SLIP 12.127</v>
      </c>
      <c r="E13" s="233" t="s">
        <v>7</v>
      </c>
      <c r="F13" s="64">
        <f>'Оборудование и материалы'!$D$110</f>
        <v>208.23728813559322</v>
      </c>
      <c r="G13" s="31">
        <f>G10*2</f>
        <v>300</v>
      </c>
      <c r="H13" s="64">
        <f t="shared" si="0"/>
        <v>62471.186440677964</v>
      </c>
    </row>
    <row r="14" spans="1:8" ht="13.7" customHeight="1" x14ac:dyDescent="0.25">
      <c r="A14" s="52"/>
      <c r="B14" s="52"/>
      <c r="C14" s="21" t="s">
        <v>13</v>
      </c>
      <c r="D14" s="129" t="str">
        <f>'Оборудование и материалы'!$A$111</f>
        <v>Анкерный зажим SO158.1</v>
      </c>
      <c r="E14" s="233" t="s">
        <v>7</v>
      </c>
      <c r="F14" s="64">
        <f>'Оборудование и материалы'!$D$111</f>
        <v>153.5593220338983</v>
      </c>
      <c r="G14" s="31">
        <f>G10*2</f>
        <v>300</v>
      </c>
      <c r="H14" s="64">
        <f t="shared" si="0"/>
        <v>46067.796610169491</v>
      </c>
    </row>
    <row r="15" spans="1:8" ht="13.7" customHeight="1" x14ac:dyDescent="0.25">
      <c r="A15" s="52"/>
      <c r="B15" s="52"/>
      <c r="C15" s="21" t="s">
        <v>115</v>
      </c>
      <c r="D15" s="129" t="str">
        <f>'Оборудование и материалы'!$A$112</f>
        <v>Анкерный кронштейн SO253</v>
      </c>
      <c r="E15" s="233" t="s">
        <v>7</v>
      </c>
      <c r="F15" s="64">
        <f>'Оборудование и материалы'!$D$112</f>
        <v>247.12711864406782</v>
      </c>
      <c r="G15" s="31">
        <f>G10*1</f>
        <v>150</v>
      </c>
      <c r="H15" s="64">
        <f t="shared" si="0"/>
        <v>37069.067796610172</v>
      </c>
    </row>
    <row r="16" spans="1:8" ht="13.7" customHeight="1" x14ac:dyDescent="0.25">
      <c r="A16" s="52"/>
      <c r="B16" s="52"/>
      <c r="C16" s="21" t="s">
        <v>14</v>
      </c>
      <c r="D16" s="129" t="str">
        <f>'Оборудование и материалы'!$A$113</f>
        <v>Крюк-болт  (Анкерный крюк) SOT16.12</v>
      </c>
      <c r="E16" s="233" t="s">
        <v>7</v>
      </c>
      <c r="F16" s="64">
        <f>'Оборудование и материалы'!$D$113</f>
        <v>96.788135593220332</v>
      </c>
      <c r="G16" s="31">
        <f>G10*1</f>
        <v>150</v>
      </c>
      <c r="H16" s="64">
        <f t="shared" si="0"/>
        <v>14518.22033898305</v>
      </c>
    </row>
    <row r="17" spans="1:8" ht="13.7" customHeight="1" x14ac:dyDescent="0.25">
      <c r="A17" s="52"/>
      <c r="B17" s="52"/>
      <c r="C17" s="21" t="s">
        <v>15</v>
      </c>
      <c r="D17" s="129" t="str">
        <f>'Оборудование и материалы'!$A$114</f>
        <v>Монтажная стальная лента из нержавеющей стали  COT37</v>
      </c>
      <c r="E17" s="233" t="s">
        <v>8</v>
      </c>
      <c r="F17" s="64">
        <f>'Оборудование и материалы'!$D$114</f>
        <v>75.271186440677965</v>
      </c>
      <c r="G17" s="31">
        <f>G10*2</f>
        <v>300</v>
      </c>
      <c r="H17" s="64">
        <f t="shared" si="0"/>
        <v>22581.355932203391</v>
      </c>
    </row>
    <row r="18" spans="1:8" ht="13.7" customHeight="1" x14ac:dyDescent="0.25">
      <c r="A18" s="52"/>
      <c r="B18" s="52"/>
      <c r="C18" s="21" t="s">
        <v>9</v>
      </c>
      <c r="D18" s="129" t="str">
        <f>'Оборудование и материалы'!$A$115</f>
        <v>Скрепа COT36</v>
      </c>
      <c r="E18" s="233" t="s">
        <v>7</v>
      </c>
      <c r="F18" s="64">
        <f>'Оборудование и материалы'!$D$115</f>
        <v>18.694915254237287</v>
      </c>
      <c r="G18" s="31">
        <f>G10*2</f>
        <v>300</v>
      </c>
      <c r="H18" s="64">
        <f t="shared" si="0"/>
        <v>5608.4745762711864</v>
      </c>
    </row>
    <row r="19" spans="1:8" ht="13.7" customHeight="1" x14ac:dyDescent="0.25">
      <c r="A19" s="59"/>
      <c r="B19" s="59"/>
      <c r="C19" s="8" t="s">
        <v>16</v>
      </c>
      <c r="D19" s="7" t="str">
        <f>'Оборудование и материалы'!$A$179</f>
        <v>Крепление кронштейна и кабеля анкерный болт, гайка, шайба, стяжка</v>
      </c>
      <c r="E19" s="24" t="s">
        <v>7</v>
      </c>
      <c r="F19" s="60">
        <f>'Оборудование и материалы'!$D$179</f>
        <v>508.47457627118649</v>
      </c>
      <c r="G19" s="24">
        <f>G10*1</f>
        <v>150</v>
      </c>
      <c r="H19" s="60">
        <f t="shared" si="0"/>
        <v>76271.186440677979</v>
      </c>
    </row>
    <row r="20" spans="1:8" ht="13.7" customHeight="1" x14ac:dyDescent="0.25">
      <c r="A20" s="59"/>
      <c r="B20" s="59"/>
      <c r="C20" s="8"/>
      <c r="D20" s="7"/>
      <c r="E20" s="24"/>
      <c r="F20" s="60"/>
      <c r="G20" s="24"/>
      <c r="H20" s="60"/>
    </row>
    <row r="21" spans="1:8" ht="13.7" customHeight="1" x14ac:dyDescent="0.25">
      <c r="A21" s="59"/>
      <c r="B21" s="59"/>
      <c r="C21" s="8"/>
      <c r="D21" s="14" t="s">
        <v>62</v>
      </c>
      <c r="E21" s="24"/>
      <c r="F21" s="60"/>
      <c r="G21" s="24"/>
      <c r="H21" s="60">
        <f>H10</f>
        <v>1602261.8644067796</v>
      </c>
    </row>
    <row r="22" spans="1:8" ht="13.7" customHeight="1" x14ac:dyDescent="0.25">
      <c r="A22" s="59"/>
      <c r="B22" s="59"/>
      <c r="C22" s="8"/>
      <c r="D22" s="117" t="s">
        <v>107</v>
      </c>
      <c r="E22" s="24"/>
      <c r="F22" s="60"/>
      <c r="G22" s="24"/>
      <c r="H22" s="60">
        <f>SUM(H11:H19)</f>
        <v>470975.31955527974</v>
      </c>
    </row>
    <row r="23" spans="1:8" ht="13.7" customHeight="1" x14ac:dyDescent="0.25">
      <c r="A23" s="59"/>
      <c r="B23" s="59"/>
      <c r="C23" s="8"/>
      <c r="D23" s="15" t="s">
        <v>131</v>
      </c>
      <c r="E23" s="24"/>
      <c r="F23" s="60"/>
      <c r="G23" s="131">
        <f>G10</f>
        <v>150</v>
      </c>
      <c r="H23" s="132">
        <f>F23*G23</f>
        <v>0</v>
      </c>
    </row>
    <row r="24" spans="1:8" ht="13.7" customHeight="1" x14ac:dyDescent="0.25">
      <c r="A24" s="54"/>
      <c r="B24" s="54"/>
      <c r="C24" s="93" t="s">
        <v>120</v>
      </c>
      <c r="D24" s="55"/>
      <c r="E24" s="54"/>
      <c r="F24" s="56"/>
      <c r="G24" s="54"/>
      <c r="H24" s="57"/>
    </row>
    <row r="25" spans="1:8" ht="60" customHeight="1" x14ac:dyDescent="0.25">
      <c r="A25" s="52"/>
      <c r="B25" s="52"/>
      <c r="C25" s="21" t="s">
        <v>6</v>
      </c>
      <c r="D25" s="4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25" s="233" t="s">
        <v>7</v>
      </c>
      <c r="F25" s="64">
        <f>'Оборудование и материалы'!$D$16</f>
        <v>10681.745762711864</v>
      </c>
      <c r="G25" s="31">
        <v>82</v>
      </c>
      <c r="H25" s="64">
        <f>G25*F25</f>
        <v>875903.15254237282</v>
      </c>
    </row>
    <row r="26" spans="1:8" ht="13.7" customHeight="1" x14ac:dyDescent="0.25">
      <c r="A26" s="52"/>
      <c r="B26" s="52"/>
      <c r="C26" s="21" t="s">
        <v>12</v>
      </c>
      <c r="D26" s="11" t="str">
        <f>'Оборудование и материалы'!$A$91</f>
        <v>Провод СИП4 2х16 мм2</v>
      </c>
      <c r="E26" s="233" t="s">
        <v>8</v>
      </c>
      <c r="F26" s="64">
        <f>'Оборудование и материалы'!$D$91</f>
        <v>38.964228813559323</v>
      </c>
      <c r="G26" s="31">
        <f>G25*25</f>
        <v>2050</v>
      </c>
      <c r="H26" s="64">
        <f t="shared" ref="H26:H35" si="1">G26*F26</f>
        <v>79876.669067796611</v>
      </c>
    </row>
    <row r="27" spans="1:8" ht="13.7" customHeight="1" x14ac:dyDescent="0.25">
      <c r="A27" s="52"/>
      <c r="B27" s="52"/>
      <c r="C27" s="21" t="s">
        <v>69</v>
      </c>
      <c r="D27" s="11" t="str">
        <f>'Оборудование и материалы'!$A$93</f>
        <v xml:space="preserve">Кабель АВВГнг LS 2х16 мм2 </v>
      </c>
      <c r="E27" s="233" t="s">
        <v>8</v>
      </c>
      <c r="F27" s="64">
        <f>'Оборудование и материалы'!$D$93</f>
        <v>57.152542372881356</v>
      </c>
      <c r="G27" s="31">
        <f>G25*6</f>
        <v>492</v>
      </c>
      <c r="H27" s="64">
        <f t="shared" si="1"/>
        <v>28119.050847457627</v>
      </c>
    </row>
    <row r="28" spans="1:8" ht="13.7" customHeight="1" x14ac:dyDescent="0.25">
      <c r="A28" s="52"/>
      <c r="B28" s="52"/>
      <c r="C28" s="21" t="s">
        <v>158</v>
      </c>
      <c r="D28" s="10" t="str">
        <f>'Оборудование и материалы'!$A$109</f>
        <v>Влагозащищенный прокалывающий зажим SLIP 12.1</v>
      </c>
      <c r="E28" s="233" t="s">
        <v>7</v>
      </c>
      <c r="F28" s="64">
        <f>'Оборудование и материалы'!$D$109</f>
        <v>200.90724456279662</v>
      </c>
      <c r="G28" s="31">
        <f>G25*2</f>
        <v>164</v>
      </c>
      <c r="H28" s="64">
        <f t="shared" si="1"/>
        <v>32948.788108298642</v>
      </c>
    </row>
    <row r="29" spans="1:8" ht="13.7" customHeight="1" x14ac:dyDescent="0.25">
      <c r="A29" s="52"/>
      <c r="B29" s="52"/>
      <c r="C29" s="21" t="s">
        <v>158</v>
      </c>
      <c r="D29" s="10" t="str">
        <f>'Оборудование и материалы'!$A$110</f>
        <v>Влагозащищенный прокалывающий зажим SLIP 12.127</v>
      </c>
      <c r="E29" s="233" t="s">
        <v>7</v>
      </c>
      <c r="F29" s="64">
        <f>'Оборудование и материалы'!$D$110</f>
        <v>208.23728813559322</v>
      </c>
      <c r="G29" s="31">
        <f>G25*2</f>
        <v>164</v>
      </c>
      <c r="H29" s="64">
        <f t="shared" si="1"/>
        <v>34150.91525423729</v>
      </c>
    </row>
    <row r="30" spans="1:8" ht="13.7" customHeight="1" x14ac:dyDescent="0.25">
      <c r="A30" s="52"/>
      <c r="B30" s="52"/>
      <c r="C30" s="21" t="s">
        <v>13</v>
      </c>
      <c r="D30" s="129" t="str">
        <f>'Оборудование и материалы'!$A$111</f>
        <v>Анкерный зажим SO158.1</v>
      </c>
      <c r="E30" s="233" t="s">
        <v>7</v>
      </c>
      <c r="F30" s="64">
        <f>'Оборудование и материалы'!$D$111</f>
        <v>153.5593220338983</v>
      </c>
      <c r="G30" s="31">
        <f>G25*2</f>
        <v>164</v>
      </c>
      <c r="H30" s="64">
        <f t="shared" si="1"/>
        <v>25183.728813559319</v>
      </c>
    </row>
    <row r="31" spans="1:8" ht="13.7" customHeight="1" x14ac:dyDescent="0.25">
      <c r="A31" s="52"/>
      <c r="B31" s="52"/>
      <c r="C31" s="21" t="s">
        <v>115</v>
      </c>
      <c r="D31" s="129" t="str">
        <f>'Оборудование и материалы'!$A$112</f>
        <v>Анкерный кронштейн SO253</v>
      </c>
      <c r="E31" s="233" t="s">
        <v>7</v>
      </c>
      <c r="F31" s="64">
        <f>'Оборудование и материалы'!$D$112</f>
        <v>247.12711864406782</v>
      </c>
      <c r="G31" s="31">
        <f>G25*1</f>
        <v>82</v>
      </c>
      <c r="H31" s="64">
        <f t="shared" si="1"/>
        <v>20264.423728813563</v>
      </c>
    </row>
    <row r="32" spans="1:8" ht="13.7" customHeight="1" x14ac:dyDescent="0.25">
      <c r="A32" s="52"/>
      <c r="B32" s="52"/>
      <c r="C32" s="21" t="s">
        <v>14</v>
      </c>
      <c r="D32" s="129" t="str">
        <f>'Оборудование и материалы'!$A$113</f>
        <v>Крюк-болт  (Анкерный крюк) SOT16.12</v>
      </c>
      <c r="E32" s="233" t="s">
        <v>7</v>
      </c>
      <c r="F32" s="64">
        <f>'Оборудование и материалы'!$D$113</f>
        <v>96.788135593220332</v>
      </c>
      <c r="G32" s="31">
        <f>G25*1</f>
        <v>82</v>
      </c>
      <c r="H32" s="64">
        <f t="shared" si="1"/>
        <v>7936.6271186440672</v>
      </c>
    </row>
    <row r="33" spans="1:8" ht="13.7" customHeight="1" x14ac:dyDescent="0.25">
      <c r="A33" s="52"/>
      <c r="B33" s="52"/>
      <c r="C33" s="21" t="s">
        <v>15</v>
      </c>
      <c r="D33" s="129" t="str">
        <f>'Оборудование и материалы'!$A$114</f>
        <v>Монтажная стальная лента из нержавеющей стали  COT37</v>
      </c>
      <c r="E33" s="233" t="s">
        <v>8</v>
      </c>
      <c r="F33" s="64">
        <f>'Оборудование и материалы'!$D$114</f>
        <v>75.271186440677965</v>
      </c>
      <c r="G33" s="31">
        <f>G25*2</f>
        <v>164</v>
      </c>
      <c r="H33" s="64">
        <f t="shared" si="1"/>
        <v>12344.474576271186</v>
      </c>
    </row>
    <row r="34" spans="1:8" ht="13.7" customHeight="1" x14ac:dyDescent="0.25">
      <c r="A34" s="52"/>
      <c r="B34" s="52"/>
      <c r="C34" s="21" t="s">
        <v>9</v>
      </c>
      <c r="D34" s="129" t="str">
        <f>'Оборудование и материалы'!$A$115</f>
        <v>Скрепа COT36</v>
      </c>
      <c r="E34" s="233" t="s">
        <v>7</v>
      </c>
      <c r="F34" s="64">
        <f>'Оборудование и материалы'!$D$115</f>
        <v>18.694915254237287</v>
      </c>
      <c r="G34" s="31">
        <f>G25*2</f>
        <v>164</v>
      </c>
      <c r="H34" s="64">
        <f t="shared" si="1"/>
        <v>3065.9661016949149</v>
      </c>
    </row>
    <row r="35" spans="1:8" ht="13.7" customHeight="1" x14ac:dyDescent="0.25">
      <c r="A35" s="59"/>
      <c r="B35" s="59"/>
      <c r="C35" s="8" t="s">
        <v>16</v>
      </c>
      <c r="D35" s="7" t="str">
        <f>'Оборудование и материалы'!$A$179</f>
        <v>Крепление кронштейна и кабеля анкерный болт, гайка, шайба, стяжка</v>
      </c>
      <c r="E35" s="24" t="s">
        <v>7</v>
      </c>
      <c r="F35" s="60">
        <f>'Оборудование и материалы'!$D$179</f>
        <v>508.47457627118649</v>
      </c>
      <c r="G35" s="24">
        <f>G25*1</f>
        <v>82</v>
      </c>
      <c r="H35" s="60">
        <f t="shared" si="1"/>
        <v>41694.91525423729</v>
      </c>
    </row>
    <row r="36" spans="1:8" ht="13.7" customHeight="1" x14ac:dyDescent="0.25">
      <c r="A36" s="59"/>
      <c r="B36" s="59"/>
      <c r="C36" s="8"/>
      <c r="D36" s="7"/>
      <c r="E36" s="24"/>
      <c r="F36" s="60"/>
      <c r="G36" s="24"/>
      <c r="H36" s="60"/>
    </row>
    <row r="37" spans="1:8" ht="13.7" customHeight="1" x14ac:dyDescent="0.25">
      <c r="A37" s="59"/>
      <c r="B37" s="59"/>
      <c r="C37" s="8"/>
      <c r="D37" s="14" t="s">
        <v>62</v>
      </c>
      <c r="E37" s="24"/>
      <c r="F37" s="60"/>
      <c r="G37" s="24"/>
      <c r="H37" s="60">
        <f>H25</f>
        <v>875903.15254237282</v>
      </c>
    </row>
    <row r="38" spans="1:8" ht="13.7" customHeight="1" x14ac:dyDescent="0.25">
      <c r="A38" s="59"/>
      <c r="B38" s="59"/>
      <c r="C38" s="8"/>
      <c r="D38" s="117" t="s">
        <v>107</v>
      </c>
      <c r="E38" s="24"/>
      <c r="F38" s="60"/>
      <c r="G38" s="24"/>
      <c r="H38" s="60">
        <f>SUM(H26:H35)</f>
        <v>285585.55887101055</v>
      </c>
    </row>
    <row r="39" spans="1:8" ht="13.7" customHeight="1" x14ac:dyDescent="0.25">
      <c r="A39" s="59"/>
      <c r="B39" s="59"/>
      <c r="C39" s="8"/>
      <c r="D39" s="15" t="s">
        <v>131</v>
      </c>
      <c r="E39" s="24"/>
      <c r="F39" s="60"/>
      <c r="G39" s="131">
        <f>G25</f>
        <v>82</v>
      </c>
      <c r="H39" s="132">
        <f>G39*F39</f>
        <v>0</v>
      </c>
    </row>
    <row r="40" spans="1:8" ht="13.7" hidden="1" customHeight="1" x14ac:dyDescent="0.25">
      <c r="A40" s="89"/>
      <c r="B40" s="89"/>
      <c r="C40" s="155" t="s">
        <v>196</v>
      </c>
      <c r="D40" s="163" t="s">
        <v>195</v>
      </c>
      <c r="E40" s="91"/>
      <c r="F40" s="92"/>
      <c r="G40" s="128"/>
      <c r="H40" s="133"/>
    </row>
    <row r="41" spans="1:8" s="241" customFormat="1" ht="60" hidden="1" customHeight="1" x14ac:dyDescent="0.25">
      <c r="A41" s="59"/>
      <c r="B41" s="59"/>
      <c r="C41" s="8" t="s">
        <v>6</v>
      </c>
      <c r="D41" s="171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41" s="24" t="s">
        <v>7</v>
      </c>
      <c r="F41" s="60">
        <f>'Оборудование и материалы'!$D$16</f>
        <v>10681.745762711864</v>
      </c>
      <c r="G41" s="24">
        <v>0</v>
      </c>
      <c r="H41" s="60">
        <f>F41*G41</f>
        <v>0</v>
      </c>
    </row>
    <row r="42" spans="1:8" s="241" customFormat="1" ht="13.7" hidden="1" customHeight="1" x14ac:dyDescent="0.25">
      <c r="A42" s="59"/>
      <c r="B42" s="59"/>
      <c r="C42" s="8" t="s">
        <v>12</v>
      </c>
      <c r="D42" s="171" t="str">
        <f>'Оборудование и материалы'!$A$91</f>
        <v>Провод СИП4 2х16 мм2</v>
      </c>
      <c r="E42" s="24" t="s">
        <v>8</v>
      </c>
      <c r="F42" s="60">
        <f>'Оборудование и материалы'!$D$91</f>
        <v>38.964228813559323</v>
      </c>
      <c r="G42" s="24">
        <f>G41*4</f>
        <v>0</v>
      </c>
      <c r="H42" s="60">
        <f>F42*G42</f>
        <v>0</v>
      </c>
    </row>
    <row r="43" spans="1:8" s="241" customFormat="1" ht="13.7" hidden="1" customHeight="1" x14ac:dyDescent="0.25">
      <c r="A43" s="59"/>
      <c r="B43" s="59"/>
      <c r="C43" s="8" t="s">
        <v>158</v>
      </c>
      <c r="D43" s="171" t="str">
        <f>'Оборудование и материалы'!$A$109</f>
        <v>Влагозащищенный прокалывающий зажим SLIP 12.1</v>
      </c>
      <c r="E43" s="24" t="s">
        <v>7</v>
      </c>
      <c r="F43" s="60">
        <f>'Оборудование и материалы'!$D$109</f>
        <v>200.90724456279662</v>
      </c>
      <c r="G43" s="24">
        <f>G41*2</f>
        <v>0</v>
      </c>
      <c r="H43" s="60">
        <f>F43*G43</f>
        <v>0</v>
      </c>
    </row>
    <row r="44" spans="1:8" s="241" customFormat="1" ht="13.7" hidden="1" customHeight="1" x14ac:dyDescent="0.25">
      <c r="A44" s="59"/>
      <c r="B44" s="59"/>
      <c r="C44" s="8"/>
      <c r="D44" s="171"/>
      <c r="E44" s="24"/>
      <c r="F44" s="60"/>
      <c r="G44" s="131"/>
      <c r="H44" s="132"/>
    </row>
    <row r="45" spans="1:8" s="241" customFormat="1" ht="13.7" hidden="1" customHeight="1" x14ac:dyDescent="0.25">
      <c r="A45" s="59"/>
      <c r="B45" s="59"/>
      <c r="C45" s="8"/>
      <c r="D45" s="172" t="s">
        <v>62</v>
      </c>
      <c r="E45" s="24"/>
      <c r="F45" s="60"/>
      <c r="G45" s="131"/>
      <c r="H45" s="60">
        <f>H41</f>
        <v>0</v>
      </c>
    </row>
    <row r="46" spans="1:8" s="241" customFormat="1" ht="13.7" hidden="1" customHeight="1" x14ac:dyDescent="0.25">
      <c r="A46" s="59"/>
      <c r="B46" s="59"/>
      <c r="C46" s="8"/>
      <c r="D46" s="172" t="s">
        <v>107</v>
      </c>
      <c r="E46" s="24"/>
      <c r="F46" s="60"/>
      <c r="G46" s="131"/>
      <c r="H46" s="60">
        <f>H42+H43</f>
        <v>0</v>
      </c>
    </row>
    <row r="47" spans="1:8" s="241" customFormat="1" ht="13.7" hidden="1" customHeight="1" x14ac:dyDescent="0.25">
      <c r="A47" s="59"/>
      <c r="B47" s="59"/>
      <c r="C47" s="8"/>
      <c r="D47" s="172" t="s">
        <v>131</v>
      </c>
      <c r="E47" s="24"/>
      <c r="F47" s="60"/>
      <c r="G47" s="131">
        <f>G40</f>
        <v>0</v>
      </c>
      <c r="H47" s="132">
        <f>G47*F47</f>
        <v>0</v>
      </c>
    </row>
    <row r="48" spans="1:8" ht="13.7" hidden="1" customHeight="1" x14ac:dyDescent="0.25">
      <c r="A48" s="89"/>
      <c r="B48" s="89"/>
      <c r="C48" s="175" t="s">
        <v>197</v>
      </c>
      <c r="D48" s="173" t="s">
        <v>198</v>
      </c>
      <c r="E48" s="91"/>
      <c r="F48" s="92"/>
      <c r="G48" s="128"/>
      <c r="H48" s="133"/>
    </row>
    <row r="49" spans="1:8" ht="51.95" hidden="1" customHeight="1" x14ac:dyDescent="0.25">
      <c r="A49" s="59"/>
      <c r="B49" s="59"/>
      <c r="C49" s="8" t="s">
        <v>6</v>
      </c>
      <c r="D49" s="19" t="str">
        <f>'Оборудование и материалы'!$A$59</f>
        <v>Однофазный прибор учета (8-тарифов, класс.точности (А/Р)- 1,0/2,0,  Uном -220(230) Iном (макс) 5-(80)А, встроенный приемо-передатчик RF, PLC, функция ретранслятора и радиомоста, RS-485, оптопорт, 3-дискретных выхода, 2-канала измерения,  устройством коммутации нагрузки, -40…+70 °С) или аналог.</v>
      </c>
      <c r="E49" s="24" t="s">
        <v>7</v>
      </c>
      <c r="F49" s="60">
        <f>'Оборудование и материалы'!$D$15</f>
        <v>3813.5593220338983</v>
      </c>
      <c r="G49" s="131">
        <v>0</v>
      </c>
      <c r="H49" s="60">
        <f>G49*F49</f>
        <v>0</v>
      </c>
    </row>
    <row r="50" spans="1:8" ht="13.7" hidden="1" customHeight="1" x14ac:dyDescent="0.25">
      <c r="A50" s="59"/>
      <c r="B50" s="59"/>
      <c r="C50" s="8" t="s">
        <v>69</v>
      </c>
      <c r="D50" s="19" t="s">
        <v>154</v>
      </c>
      <c r="E50" s="24" t="s">
        <v>8</v>
      </c>
      <c r="F50" s="60">
        <v>49.23</v>
      </c>
      <c r="G50" s="24">
        <f>G49*6</f>
        <v>0</v>
      </c>
      <c r="H50" s="60">
        <f>G50*F50</f>
        <v>0</v>
      </c>
    </row>
    <row r="51" spans="1:8" ht="13.7" hidden="1" customHeight="1" x14ac:dyDescent="0.25">
      <c r="A51" s="59"/>
      <c r="B51" s="59"/>
      <c r="C51" s="8" t="s">
        <v>159</v>
      </c>
      <c r="D51" s="19" t="str">
        <f>'Оборудование и материалы'!$A$179</f>
        <v>Крепление кронштейна и кабеля анкерный болт, гайка, шайба, стяжка</v>
      </c>
      <c r="E51" s="24" t="s">
        <v>7</v>
      </c>
      <c r="F51" s="60">
        <f>'Оборудование и материалы'!$D$179</f>
        <v>508.47457627118649</v>
      </c>
      <c r="G51" s="24">
        <f>G49*1</f>
        <v>0</v>
      </c>
      <c r="H51" s="60">
        <f>G51*F51</f>
        <v>0</v>
      </c>
    </row>
    <row r="52" spans="1:8" ht="13.7" hidden="1" customHeight="1" x14ac:dyDescent="0.25">
      <c r="A52" s="59"/>
      <c r="B52" s="59"/>
      <c r="C52" s="8"/>
      <c r="D52" s="15"/>
      <c r="E52" s="24"/>
      <c r="F52" s="60"/>
      <c r="G52" s="131"/>
      <c r="H52" s="132"/>
    </row>
    <row r="53" spans="1:8" ht="13.7" hidden="1" customHeight="1" x14ac:dyDescent="0.25">
      <c r="A53" s="59"/>
      <c r="B53" s="59"/>
      <c r="C53" s="8"/>
      <c r="D53" s="15" t="s">
        <v>62</v>
      </c>
      <c r="E53" s="24"/>
      <c r="F53" s="60"/>
      <c r="G53" s="131"/>
      <c r="H53" s="60">
        <f>H49</f>
        <v>0</v>
      </c>
    </row>
    <row r="54" spans="1:8" ht="13.7" hidden="1" customHeight="1" x14ac:dyDescent="0.25">
      <c r="A54" s="59"/>
      <c r="B54" s="59"/>
      <c r="C54" s="8"/>
      <c r="D54" s="15" t="s">
        <v>107</v>
      </c>
      <c r="E54" s="24"/>
      <c r="F54" s="60"/>
      <c r="G54" s="131"/>
      <c r="H54" s="60">
        <f>H50+H51</f>
        <v>0</v>
      </c>
    </row>
    <row r="55" spans="1:8" ht="13.7" hidden="1" customHeight="1" x14ac:dyDescent="0.25">
      <c r="A55" s="59"/>
      <c r="B55" s="59"/>
      <c r="C55" s="8"/>
      <c r="D55" s="15" t="s">
        <v>131</v>
      </c>
      <c r="E55" s="24"/>
      <c r="F55" s="60"/>
      <c r="G55" s="131">
        <f>G49</f>
        <v>0</v>
      </c>
      <c r="H55" s="132">
        <f>G55*F55</f>
        <v>0</v>
      </c>
    </row>
    <row r="56" spans="1:8" ht="13.7" customHeight="1" x14ac:dyDescent="0.25">
      <c r="A56" s="54"/>
      <c r="B56" s="54"/>
      <c r="C56" s="175" t="s">
        <v>179</v>
      </c>
      <c r="D56" s="61"/>
      <c r="E56" s="62"/>
      <c r="F56" s="63"/>
      <c r="G56" s="62"/>
      <c r="H56" s="63"/>
    </row>
    <row r="57" spans="1:8" ht="62.1" customHeight="1" x14ac:dyDescent="0.25">
      <c r="A57" s="52"/>
      <c r="B57" s="58"/>
      <c r="C57" s="1" t="s">
        <v>21</v>
      </c>
      <c r="D57" s="183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57" s="31" t="s">
        <v>7</v>
      </c>
      <c r="F57" s="64">
        <f>'Оборудование и материалы'!$D$17</f>
        <v>18389.830508474577</v>
      </c>
      <c r="G57" s="31">
        <v>9</v>
      </c>
      <c r="H57" s="64">
        <f t="shared" ref="H57:H66" si="2">F57*G57</f>
        <v>165508.4745762712</v>
      </c>
    </row>
    <row r="58" spans="1:8" ht="13.7" customHeight="1" x14ac:dyDescent="0.25">
      <c r="A58" s="52"/>
      <c r="B58" s="52"/>
      <c r="C58" s="3" t="s">
        <v>22</v>
      </c>
      <c r="D58" s="1" t="str">
        <f>'Оборудование и материалы'!$A$92</f>
        <v>Провод СИП4 4х25 мм2</v>
      </c>
      <c r="E58" s="233" t="s">
        <v>8</v>
      </c>
      <c r="F58" s="64">
        <f>'Оборудование и материалы'!$D$92</f>
        <v>112.3198220338983</v>
      </c>
      <c r="G58" s="31">
        <f>G57*25</f>
        <v>225</v>
      </c>
      <c r="H58" s="64">
        <f t="shared" si="2"/>
        <v>25271.959957627118</v>
      </c>
    </row>
    <row r="59" spans="1:8" ht="13.7" customHeight="1" x14ac:dyDescent="0.25">
      <c r="A59" s="52"/>
      <c r="B59" s="52"/>
      <c r="C59" s="21" t="s">
        <v>158</v>
      </c>
      <c r="D59" s="10" t="str">
        <f>'Оборудование и материалы'!$A$109</f>
        <v>Влагозащищенный прокалывающий зажим SLIP 12.1</v>
      </c>
      <c r="E59" s="233" t="s">
        <v>7</v>
      </c>
      <c r="F59" s="64">
        <f>'Оборудование и материалы'!$D$109</f>
        <v>200.90724456279662</v>
      </c>
      <c r="G59" s="31">
        <f>G57*4</f>
        <v>36</v>
      </c>
      <c r="H59" s="64">
        <f t="shared" si="2"/>
        <v>7232.6608042606786</v>
      </c>
    </row>
    <row r="60" spans="1:8" ht="13.7" customHeight="1" x14ac:dyDescent="0.25">
      <c r="A60" s="52"/>
      <c r="B60" s="52"/>
      <c r="C60" s="21" t="s">
        <v>158</v>
      </c>
      <c r="D60" s="10" t="str">
        <f>'Оборудование и материалы'!A110</f>
        <v>Влагозащищенный прокалывающий зажим SLIP 12.127</v>
      </c>
      <c r="E60" s="233" t="s">
        <v>7</v>
      </c>
      <c r="F60" s="64">
        <f>'Оборудование и материалы'!D110</f>
        <v>208.23728813559322</v>
      </c>
      <c r="G60" s="31">
        <f>G57*4</f>
        <v>36</v>
      </c>
      <c r="H60" s="64">
        <f t="shared" si="2"/>
        <v>7496.5423728813557</v>
      </c>
    </row>
    <row r="61" spans="1:8" ht="13.7" customHeight="1" x14ac:dyDescent="0.25">
      <c r="A61" s="52"/>
      <c r="B61" s="52"/>
      <c r="C61" s="2" t="s">
        <v>13</v>
      </c>
      <c r="D61" s="129" t="str">
        <f>'Оборудование и материалы'!$A$111</f>
        <v>Анкерный зажим SO158.1</v>
      </c>
      <c r="E61" s="233" t="s">
        <v>7</v>
      </c>
      <c r="F61" s="64">
        <f>'Оборудование и материалы'!$D$111</f>
        <v>153.5593220338983</v>
      </c>
      <c r="G61" s="31">
        <f>G57*2</f>
        <v>18</v>
      </c>
      <c r="H61" s="64">
        <f t="shared" si="2"/>
        <v>2764.0677966101694</v>
      </c>
    </row>
    <row r="62" spans="1:8" ht="13.7" customHeight="1" x14ac:dyDescent="0.25">
      <c r="A62" s="52"/>
      <c r="B62" s="52"/>
      <c r="C62" s="21" t="s">
        <v>115</v>
      </c>
      <c r="D62" s="129" t="str">
        <f>'Оборудование и материалы'!$A$112</f>
        <v>Анкерный кронштейн SO253</v>
      </c>
      <c r="E62" s="233" t="s">
        <v>7</v>
      </c>
      <c r="F62" s="64">
        <f>'Оборудование и материалы'!$D$112</f>
        <v>247.12711864406782</v>
      </c>
      <c r="G62" s="31">
        <f>G57*1</f>
        <v>9</v>
      </c>
      <c r="H62" s="64">
        <f t="shared" si="2"/>
        <v>2224.1440677966102</v>
      </c>
    </row>
    <row r="63" spans="1:8" ht="13.7" customHeight="1" x14ac:dyDescent="0.25">
      <c r="A63" s="52"/>
      <c r="B63" s="52"/>
      <c r="C63" s="4" t="s">
        <v>14</v>
      </c>
      <c r="D63" s="129" t="str">
        <f>'Оборудование и материалы'!$A$113</f>
        <v>Крюк-болт  (Анкерный крюк) SOT16.12</v>
      </c>
      <c r="E63" s="233" t="s">
        <v>7</v>
      </c>
      <c r="F63" s="64">
        <f>'Оборудование и материалы'!$D$113</f>
        <v>96.788135593220332</v>
      </c>
      <c r="G63" s="31">
        <f>G57*1</f>
        <v>9</v>
      </c>
      <c r="H63" s="64">
        <f t="shared" si="2"/>
        <v>871.09322033898297</v>
      </c>
    </row>
    <row r="64" spans="1:8" ht="13.7" customHeight="1" x14ac:dyDescent="0.25">
      <c r="A64" s="52"/>
      <c r="B64" s="52"/>
      <c r="C64" s="2" t="s">
        <v>15</v>
      </c>
      <c r="D64" s="129" t="str">
        <f>'Оборудование и материалы'!$A$114</f>
        <v>Монтажная стальная лента из нержавеющей стали  COT37</v>
      </c>
      <c r="E64" s="31" t="s">
        <v>8</v>
      </c>
      <c r="F64" s="64">
        <f>'Оборудование и материалы'!$D$114</f>
        <v>75.271186440677965</v>
      </c>
      <c r="G64" s="31">
        <f>G57*4</f>
        <v>36</v>
      </c>
      <c r="H64" s="64">
        <f t="shared" si="2"/>
        <v>2709.7627118644068</v>
      </c>
    </row>
    <row r="65" spans="1:8" ht="13.7" customHeight="1" x14ac:dyDescent="0.25">
      <c r="A65" s="52"/>
      <c r="B65" s="52"/>
      <c r="C65" s="2" t="s">
        <v>9</v>
      </c>
      <c r="D65" s="129" t="str">
        <f>'Оборудование и материалы'!$A$115</f>
        <v>Скрепа COT36</v>
      </c>
      <c r="E65" s="31" t="s">
        <v>7</v>
      </c>
      <c r="F65" s="64">
        <f>'Оборудование и материалы'!$D$115</f>
        <v>18.694915254237287</v>
      </c>
      <c r="G65" s="31">
        <f>G57*4</f>
        <v>36</v>
      </c>
      <c r="H65" s="64">
        <f t="shared" si="2"/>
        <v>673.01694915254234</v>
      </c>
    </row>
    <row r="66" spans="1:8" ht="13.7" customHeight="1" x14ac:dyDescent="0.25">
      <c r="A66" s="59"/>
      <c r="B66" s="59"/>
      <c r="C66" s="2" t="s">
        <v>16</v>
      </c>
      <c r="D66" s="13" t="str">
        <f>'Оборудование и материалы'!$A$179</f>
        <v>Крепление кронштейна и кабеля анкерный болт, гайка, шайба, стяжка</v>
      </c>
      <c r="E66" s="24" t="s">
        <v>7</v>
      </c>
      <c r="F66" s="60">
        <f>'Оборудование и материалы'!$D$179</f>
        <v>508.47457627118649</v>
      </c>
      <c r="G66" s="24">
        <f>G57*1</f>
        <v>9</v>
      </c>
      <c r="H66" s="60">
        <f t="shared" si="2"/>
        <v>4576.2711864406783</v>
      </c>
    </row>
    <row r="67" spans="1:8" ht="13.7" customHeight="1" x14ac:dyDescent="0.25">
      <c r="A67" s="59"/>
      <c r="B67" s="59"/>
      <c r="C67" s="2"/>
      <c r="D67" s="13"/>
      <c r="E67" s="24"/>
      <c r="F67" s="60"/>
      <c r="G67" s="24"/>
      <c r="H67" s="60"/>
    </row>
    <row r="68" spans="1:8" ht="13.7" customHeight="1" x14ac:dyDescent="0.25">
      <c r="A68" s="59"/>
      <c r="B68" s="59"/>
      <c r="C68" s="2"/>
      <c r="D68" s="14" t="s">
        <v>62</v>
      </c>
      <c r="E68" s="24"/>
      <c r="F68" s="60"/>
      <c r="G68" s="24"/>
      <c r="H68" s="60">
        <f>SUM(H57:H57)</f>
        <v>165508.4745762712</v>
      </c>
    </row>
    <row r="69" spans="1:8" ht="13.7" customHeight="1" x14ac:dyDescent="0.25">
      <c r="A69" s="59"/>
      <c r="B69" s="59"/>
      <c r="C69" s="2"/>
      <c r="D69" s="117" t="s">
        <v>107</v>
      </c>
      <c r="E69" s="24"/>
      <c r="F69" s="60"/>
      <c r="G69" s="24"/>
      <c r="H69" s="60">
        <f>SUM(H58:H66)</f>
        <v>53819.519066972549</v>
      </c>
    </row>
    <row r="70" spans="1:8" ht="13.7" customHeight="1" x14ac:dyDescent="0.25">
      <c r="A70" s="59"/>
      <c r="B70" s="59"/>
      <c r="C70" s="2"/>
      <c r="D70" s="15" t="s">
        <v>131</v>
      </c>
      <c r="E70" s="24"/>
      <c r="F70" s="60"/>
      <c r="G70" s="131">
        <f>G57</f>
        <v>9</v>
      </c>
      <c r="H70" s="132">
        <f>F70*G70</f>
        <v>0</v>
      </c>
    </row>
    <row r="71" spans="1:8" ht="13.7" customHeight="1" x14ac:dyDescent="0.25">
      <c r="A71" s="54"/>
      <c r="B71" s="54"/>
      <c r="C71" s="85" t="s">
        <v>199</v>
      </c>
      <c r="D71" s="156"/>
      <c r="E71" s="62"/>
      <c r="F71" s="63"/>
      <c r="G71" s="62"/>
      <c r="H71" s="63"/>
    </row>
    <row r="72" spans="1:8" ht="62.1" customHeight="1" x14ac:dyDescent="0.25">
      <c r="A72" s="52"/>
      <c r="B72" s="52"/>
      <c r="C72" s="2" t="s">
        <v>21</v>
      </c>
      <c r="D72" s="10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72" s="233" t="s">
        <v>7</v>
      </c>
      <c r="F72" s="64">
        <f>'Оборудование и материалы'!$D$17</f>
        <v>18389.830508474577</v>
      </c>
      <c r="G72" s="31">
        <v>1</v>
      </c>
      <c r="H72" s="64">
        <f>G72*F72</f>
        <v>18389.830508474577</v>
      </c>
    </row>
    <row r="73" spans="1:8" ht="13.7" customHeight="1" x14ac:dyDescent="0.25">
      <c r="A73" s="52"/>
      <c r="B73" s="52"/>
      <c r="C73" s="1" t="s">
        <v>22</v>
      </c>
      <c r="D73" s="1" t="str">
        <f>'Оборудование и материалы'!$A$92</f>
        <v>Провод СИП4 4х25 мм2</v>
      </c>
      <c r="E73" s="233" t="s">
        <v>8</v>
      </c>
      <c r="F73" s="64">
        <f>'Оборудование и материалы'!$D$92</f>
        <v>112.3198220338983</v>
      </c>
      <c r="G73" s="31">
        <f>G72*25</f>
        <v>25</v>
      </c>
      <c r="H73" s="64">
        <f t="shared" ref="H73:H82" si="3">G73*F73</f>
        <v>2807.9955508474577</v>
      </c>
    </row>
    <row r="74" spans="1:8" ht="13.7" customHeight="1" x14ac:dyDescent="0.25">
      <c r="A74" s="52"/>
      <c r="B74" s="52"/>
      <c r="C74" s="2" t="s">
        <v>69</v>
      </c>
      <c r="D74" s="10" t="str">
        <f>'Оборудование и материалы'!$A$94</f>
        <v xml:space="preserve">Кабель АВВГнг LS 4х25 мм2 </v>
      </c>
      <c r="E74" s="233" t="s">
        <v>8</v>
      </c>
      <c r="F74" s="64">
        <f>'Оборудование и материалы'!$D$94</f>
        <v>122.9491525423729</v>
      </c>
      <c r="G74" s="31">
        <f>G72*6</f>
        <v>6</v>
      </c>
      <c r="H74" s="64">
        <f t="shared" si="3"/>
        <v>737.69491525423746</v>
      </c>
    </row>
    <row r="75" spans="1:8" ht="13.7" customHeight="1" x14ac:dyDescent="0.25">
      <c r="A75" s="52"/>
      <c r="B75" s="52"/>
      <c r="C75" s="21" t="s">
        <v>158</v>
      </c>
      <c r="D75" s="10" t="str">
        <f>'Оборудование и материалы'!$A$109</f>
        <v>Влагозащищенный прокалывающий зажим SLIP 12.1</v>
      </c>
      <c r="E75" s="233" t="s">
        <v>7</v>
      </c>
      <c r="F75" s="64">
        <f>'Оборудование и материалы'!$D$109</f>
        <v>200.90724456279662</v>
      </c>
      <c r="G75" s="31">
        <f>G72*4</f>
        <v>4</v>
      </c>
      <c r="H75" s="64">
        <f t="shared" si="3"/>
        <v>803.62897825118648</v>
      </c>
    </row>
    <row r="76" spans="1:8" ht="13.7" customHeight="1" x14ac:dyDescent="0.25">
      <c r="A76" s="52"/>
      <c r="B76" s="52"/>
      <c r="C76" s="21" t="s">
        <v>158</v>
      </c>
      <c r="D76" s="10" t="str">
        <f>'Оборудование и материалы'!A110</f>
        <v>Влагозащищенный прокалывающий зажим SLIP 12.127</v>
      </c>
      <c r="E76" s="233" t="s">
        <v>7</v>
      </c>
      <c r="F76" s="64">
        <f>'Оборудование и материалы'!D110</f>
        <v>208.23728813559322</v>
      </c>
      <c r="G76" s="31">
        <f>G72*4</f>
        <v>4</v>
      </c>
      <c r="H76" s="64">
        <f t="shared" si="3"/>
        <v>832.94915254237287</v>
      </c>
    </row>
    <row r="77" spans="1:8" ht="13.7" customHeight="1" x14ac:dyDescent="0.25">
      <c r="A77" s="52"/>
      <c r="B77" s="52"/>
      <c r="C77" s="21" t="s">
        <v>13</v>
      </c>
      <c r="D77" s="129" t="str">
        <f>'Оборудование и материалы'!$A$111</f>
        <v>Анкерный зажим SO158.1</v>
      </c>
      <c r="E77" s="233" t="s">
        <v>7</v>
      </c>
      <c r="F77" s="64">
        <f>'Оборудование и материалы'!$D$111</f>
        <v>153.5593220338983</v>
      </c>
      <c r="G77" s="31">
        <f>G72*2</f>
        <v>2</v>
      </c>
      <c r="H77" s="64">
        <f t="shared" si="3"/>
        <v>307.11864406779659</v>
      </c>
    </row>
    <row r="78" spans="1:8" ht="13.7" customHeight="1" x14ac:dyDescent="0.25">
      <c r="A78" s="52"/>
      <c r="B78" s="52"/>
      <c r="C78" s="21" t="s">
        <v>115</v>
      </c>
      <c r="D78" s="129" t="str">
        <f>'Оборудование и материалы'!$A$112</f>
        <v>Анкерный кронштейн SO253</v>
      </c>
      <c r="E78" s="233" t="s">
        <v>7</v>
      </c>
      <c r="F78" s="64">
        <f>'Оборудование и материалы'!$D$112</f>
        <v>247.12711864406782</v>
      </c>
      <c r="G78" s="31">
        <f>G72*1</f>
        <v>1</v>
      </c>
      <c r="H78" s="64">
        <f t="shared" si="3"/>
        <v>247.12711864406782</v>
      </c>
    </row>
    <row r="79" spans="1:8" ht="13.7" customHeight="1" x14ac:dyDescent="0.25">
      <c r="A79" s="52"/>
      <c r="B79" s="52"/>
      <c r="C79" s="4" t="s">
        <v>14</v>
      </c>
      <c r="D79" s="129" t="str">
        <f>'Оборудование и материалы'!$A$113</f>
        <v>Крюк-болт  (Анкерный крюк) SOT16.12</v>
      </c>
      <c r="E79" s="233" t="s">
        <v>7</v>
      </c>
      <c r="F79" s="64">
        <f>'Оборудование и материалы'!$D$113</f>
        <v>96.788135593220332</v>
      </c>
      <c r="G79" s="31">
        <f>G72*1</f>
        <v>1</v>
      </c>
      <c r="H79" s="64">
        <f t="shared" si="3"/>
        <v>96.788135593220332</v>
      </c>
    </row>
    <row r="80" spans="1:8" ht="13.7" customHeight="1" x14ac:dyDescent="0.25">
      <c r="A80" s="52"/>
      <c r="B80" s="52"/>
      <c r="C80" s="4" t="s">
        <v>15</v>
      </c>
      <c r="D80" s="129" t="str">
        <f>'Оборудование и материалы'!$A$114</f>
        <v>Монтажная стальная лента из нержавеющей стали  COT37</v>
      </c>
      <c r="E80" s="31" t="s">
        <v>8</v>
      </c>
      <c r="F80" s="64">
        <f>'Оборудование и материалы'!$D$114</f>
        <v>75.271186440677965</v>
      </c>
      <c r="G80" s="31">
        <f>G72*4</f>
        <v>4</v>
      </c>
      <c r="H80" s="64">
        <f t="shared" si="3"/>
        <v>301.08474576271186</v>
      </c>
    </row>
    <row r="81" spans="1:8" ht="13.7" customHeight="1" x14ac:dyDescent="0.25">
      <c r="A81" s="52"/>
      <c r="B81" s="52"/>
      <c r="C81" s="2" t="s">
        <v>9</v>
      </c>
      <c r="D81" s="129" t="str">
        <f>'Оборудование и материалы'!$A$115</f>
        <v>Скрепа COT36</v>
      </c>
      <c r="E81" s="31" t="s">
        <v>7</v>
      </c>
      <c r="F81" s="64">
        <f>'Оборудование и материалы'!$D$115</f>
        <v>18.694915254237287</v>
      </c>
      <c r="G81" s="31">
        <f>G72*4</f>
        <v>4</v>
      </c>
      <c r="H81" s="64">
        <f t="shared" si="3"/>
        <v>74.779661016949149</v>
      </c>
    </row>
    <row r="82" spans="1:8" ht="13.7" customHeight="1" x14ac:dyDescent="0.25">
      <c r="A82" s="59"/>
      <c r="B82" s="59"/>
      <c r="C82" s="2" t="s">
        <v>16</v>
      </c>
      <c r="D82" s="8" t="str">
        <f>'Оборудование и материалы'!$A$179</f>
        <v>Крепление кронштейна и кабеля анкерный болт, гайка, шайба, стяжка</v>
      </c>
      <c r="E82" s="24" t="s">
        <v>7</v>
      </c>
      <c r="F82" s="60">
        <f>'Оборудование и материалы'!$D$179</f>
        <v>508.47457627118649</v>
      </c>
      <c r="G82" s="24">
        <f>G72*1</f>
        <v>1</v>
      </c>
      <c r="H82" s="60">
        <f t="shared" si="3"/>
        <v>508.47457627118649</v>
      </c>
    </row>
    <row r="83" spans="1:8" ht="13.7" customHeight="1" x14ac:dyDescent="0.25">
      <c r="A83" s="59"/>
      <c r="B83" s="59"/>
      <c r="C83" s="2"/>
      <c r="D83" s="8"/>
      <c r="E83" s="24"/>
      <c r="F83" s="60"/>
      <c r="G83" s="24"/>
      <c r="H83" s="60"/>
    </row>
    <row r="84" spans="1:8" ht="13.7" customHeight="1" x14ac:dyDescent="0.25">
      <c r="A84" s="59"/>
      <c r="B84" s="59"/>
      <c r="C84" s="2"/>
      <c r="D84" s="14" t="s">
        <v>62</v>
      </c>
      <c r="E84" s="24"/>
      <c r="F84" s="60"/>
      <c r="G84" s="24"/>
      <c r="H84" s="60">
        <f>SUM(H72:H72)</f>
        <v>18389.830508474577</v>
      </c>
    </row>
    <row r="85" spans="1:8" ht="13.7" customHeight="1" x14ac:dyDescent="0.25">
      <c r="A85" s="59"/>
      <c r="B85" s="59"/>
      <c r="C85" s="2"/>
      <c r="D85" s="117" t="s">
        <v>107</v>
      </c>
      <c r="E85" s="24"/>
      <c r="F85" s="60"/>
      <c r="G85" s="24"/>
      <c r="H85" s="60">
        <f>SUM(H73:H82)</f>
        <v>6717.6414782511865</v>
      </c>
    </row>
    <row r="86" spans="1:8" ht="13.7" customHeight="1" x14ac:dyDescent="0.25">
      <c r="A86" s="59"/>
      <c r="B86" s="59"/>
      <c r="C86" s="2"/>
      <c r="D86" s="15" t="s">
        <v>131</v>
      </c>
      <c r="E86" s="24"/>
      <c r="F86" s="60"/>
      <c r="G86" s="131">
        <f>G72</f>
        <v>1</v>
      </c>
      <c r="H86" s="132">
        <f>G86*F86</f>
        <v>0</v>
      </c>
    </row>
    <row r="87" spans="1:8" ht="13.7" hidden="1" customHeight="1" x14ac:dyDescent="0.25">
      <c r="A87" s="157"/>
      <c r="B87" s="157"/>
      <c r="C87" s="162" t="s">
        <v>200</v>
      </c>
      <c r="D87" s="174" t="s">
        <v>195</v>
      </c>
      <c r="E87" s="158"/>
      <c r="F87" s="159"/>
      <c r="G87" s="160"/>
      <c r="H87" s="161"/>
    </row>
    <row r="88" spans="1:8" ht="62.1" hidden="1" customHeight="1" x14ac:dyDescent="0.25">
      <c r="A88" s="59"/>
      <c r="B88" s="59"/>
      <c r="C88" s="2" t="s">
        <v>21</v>
      </c>
      <c r="D88" s="19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88" s="24" t="s">
        <v>7</v>
      </c>
      <c r="F88" s="60">
        <f>'Оборудование и материалы'!$D$17</f>
        <v>18389.830508474577</v>
      </c>
      <c r="G88" s="24">
        <v>0</v>
      </c>
      <c r="H88" s="60">
        <f>F88*G88</f>
        <v>0</v>
      </c>
    </row>
    <row r="89" spans="1:8" ht="13.7" hidden="1" customHeight="1" x14ac:dyDescent="0.25">
      <c r="A89" s="59"/>
      <c r="B89" s="59"/>
      <c r="C89" s="2" t="s">
        <v>22</v>
      </c>
      <c r="D89" s="19" t="str">
        <f>'Оборудование и материалы'!$A$92</f>
        <v>Провод СИП4 4х25 мм2</v>
      </c>
      <c r="E89" s="24" t="s">
        <v>8</v>
      </c>
      <c r="F89" s="60">
        <f>'Оборудование и материалы'!$D$92</f>
        <v>112.3198220338983</v>
      </c>
      <c r="G89" s="24">
        <f>G88*12</f>
        <v>0</v>
      </c>
      <c r="H89" s="60">
        <f>F89*G89</f>
        <v>0</v>
      </c>
    </row>
    <row r="90" spans="1:8" ht="13.7" hidden="1" customHeight="1" x14ac:dyDescent="0.25">
      <c r="A90" s="59"/>
      <c r="B90" s="59"/>
      <c r="C90" s="2" t="s">
        <v>158</v>
      </c>
      <c r="D90" s="19" t="str">
        <f>'Оборудование и материалы'!$A$109</f>
        <v>Влагозащищенный прокалывающий зажим SLIP 12.1</v>
      </c>
      <c r="E90" s="24" t="s">
        <v>7</v>
      </c>
      <c r="F90" s="60">
        <f>'Оборудование и материалы'!$D$109</f>
        <v>200.90724456279662</v>
      </c>
      <c r="G90" s="24">
        <f>G88*4</f>
        <v>0</v>
      </c>
      <c r="H90" s="60">
        <f>F90*G90</f>
        <v>0</v>
      </c>
    </row>
    <row r="91" spans="1:8" ht="13.7" hidden="1" customHeight="1" x14ac:dyDescent="0.25">
      <c r="A91" s="59"/>
      <c r="B91" s="59"/>
      <c r="C91" s="2" t="s">
        <v>15</v>
      </c>
      <c r="D91" s="19" t="str">
        <f>'Оборудование и материалы'!$A$114</f>
        <v>Монтажная стальная лента из нержавеющей стали  COT37</v>
      </c>
      <c r="E91" s="24" t="s">
        <v>8</v>
      </c>
      <c r="F91" s="60">
        <f>'Оборудование и материалы'!$D$114</f>
        <v>75.271186440677965</v>
      </c>
      <c r="G91" s="24">
        <f>G88*4</f>
        <v>0</v>
      </c>
      <c r="H91" s="60">
        <f>G91*F91</f>
        <v>0</v>
      </c>
    </row>
    <row r="92" spans="1:8" ht="13.7" hidden="1" customHeight="1" x14ac:dyDescent="0.25">
      <c r="A92" s="59"/>
      <c r="B92" s="59"/>
      <c r="C92" s="2" t="s">
        <v>9</v>
      </c>
      <c r="D92" s="19" t="str">
        <f>'Оборудование и материалы'!$A$115</f>
        <v>Скрепа COT36</v>
      </c>
      <c r="E92" s="24" t="s">
        <v>7</v>
      </c>
      <c r="F92" s="60">
        <f>'Оборудование и материалы'!$D$115</f>
        <v>18.694915254237287</v>
      </c>
      <c r="G92" s="24">
        <f>G88*4</f>
        <v>0</v>
      </c>
      <c r="H92" s="60">
        <f>G92*F92</f>
        <v>0</v>
      </c>
    </row>
    <row r="93" spans="1:8" ht="13.7" hidden="1" customHeight="1" x14ac:dyDescent="0.25">
      <c r="A93" s="59"/>
      <c r="B93" s="59"/>
      <c r="C93" s="2"/>
      <c r="D93" s="15"/>
      <c r="E93" s="24"/>
      <c r="F93" s="60"/>
      <c r="G93" s="24"/>
      <c r="H93" s="60"/>
    </row>
    <row r="94" spans="1:8" ht="13.7" hidden="1" customHeight="1" x14ac:dyDescent="0.25">
      <c r="A94" s="59"/>
      <c r="B94" s="59"/>
      <c r="C94" s="2"/>
      <c r="D94" s="15" t="s">
        <v>62</v>
      </c>
      <c r="E94" s="24"/>
      <c r="F94" s="60"/>
      <c r="G94" s="24"/>
      <c r="H94" s="60">
        <f>H88</f>
        <v>0</v>
      </c>
    </row>
    <row r="95" spans="1:8" ht="13.7" hidden="1" customHeight="1" x14ac:dyDescent="0.25">
      <c r="A95" s="59"/>
      <c r="B95" s="59"/>
      <c r="C95" s="2"/>
      <c r="D95" s="15" t="s">
        <v>107</v>
      </c>
      <c r="E95" s="24"/>
      <c r="F95" s="60"/>
      <c r="G95" s="24"/>
      <c r="H95" s="60">
        <f>SUM(H89:H92)</f>
        <v>0</v>
      </c>
    </row>
    <row r="96" spans="1:8" ht="13.7" hidden="1" customHeight="1" x14ac:dyDescent="0.25">
      <c r="A96" s="59"/>
      <c r="B96" s="59"/>
      <c r="C96" s="2"/>
      <c r="D96" s="15" t="s">
        <v>131</v>
      </c>
      <c r="E96" s="24"/>
      <c r="F96" s="60"/>
      <c r="G96" s="131">
        <f>G88</f>
        <v>0</v>
      </c>
      <c r="H96" s="132">
        <f>F96*G96</f>
        <v>0</v>
      </c>
    </row>
    <row r="97" spans="1:8" ht="13.7" customHeight="1" x14ac:dyDescent="0.25">
      <c r="A97" s="65"/>
      <c r="B97" s="65"/>
      <c r="C97" s="48" t="s">
        <v>26</v>
      </c>
      <c r="D97" s="66"/>
      <c r="E97" s="67"/>
      <c r="F97" s="68"/>
      <c r="G97" s="67"/>
      <c r="H97" s="68"/>
    </row>
    <row r="98" spans="1:8" ht="13.7" customHeight="1" x14ac:dyDescent="0.25">
      <c r="A98" s="54"/>
      <c r="B98" s="54"/>
      <c r="C98" s="175" t="s">
        <v>27</v>
      </c>
      <c r="D98" s="61"/>
      <c r="E98" s="62"/>
      <c r="F98" s="63"/>
      <c r="G98" s="62"/>
      <c r="H98" s="63"/>
    </row>
    <row r="99" spans="1:8" ht="58.5" customHeight="1" x14ac:dyDescent="0.25">
      <c r="A99" s="52"/>
      <c r="B99" s="52"/>
      <c r="C99" s="21" t="s">
        <v>6</v>
      </c>
      <c r="D99" s="10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99" s="233" t="s">
        <v>7</v>
      </c>
      <c r="F99" s="64">
        <f>'Оборудование и материалы'!$D$16</f>
        <v>10681.745762711864</v>
      </c>
      <c r="G99" s="31">
        <v>7</v>
      </c>
      <c r="H99" s="64">
        <f t="shared" ref="H99:H108" si="4">F99*G99</f>
        <v>74772.220338983054</v>
      </c>
    </row>
    <row r="100" spans="1:8" ht="13.7" customHeight="1" x14ac:dyDescent="0.25">
      <c r="A100" s="52"/>
      <c r="B100" s="52"/>
      <c r="C100" s="21" t="s">
        <v>12</v>
      </c>
      <c r="D100" s="1" t="str">
        <f>'Оборудование и материалы'!$A$91</f>
        <v>Провод СИП4 2х16 мм2</v>
      </c>
      <c r="E100" s="233" t="s">
        <v>8</v>
      </c>
      <c r="F100" s="64">
        <f>'Оборудование и материалы'!$D$91</f>
        <v>38.964228813559323</v>
      </c>
      <c r="G100" s="31">
        <f>G99*25</f>
        <v>175</v>
      </c>
      <c r="H100" s="64">
        <f t="shared" si="4"/>
        <v>6818.7400423728814</v>
      </c>
    </row>
    <row r="101" spans="1:8" ht="13.7" customHeight="1" x14ac:dyDescent="0.25">
      <c r="A101" s="52"/>
      <c r="B101" s="52"/>
      <c r="C101" s="21" t="s">
        <v>158</v>
      </c>
      <c r="D101" s="10" t="str">
        <f>'Оборудование и материалы'!$A$109</f>
        <v>Влагозащищенный прокалывающий зажим SLIP 12.1</v>
      </c>
      <c r="E101" s="233" t="s">
        <v>7</v>
      </c>
      <c r="F101" s="64">
        <f>'Оборудование и материалы'!$D$109</f>
        <v>200.90724456279662</v>
      </c>
      <c r="G101" s="31">
        <f>G99*2</f>
        <v>14</v>
      </c>
      <c r="H101" s="64">
        <f t="shared" si="4"/>
        <v>2812.7014238791526</v>
      </c>
    </row>
    <row r="102" spans="1:8" ht="13.7" customHeight="1" x14ac:dyDescent="0.25">
      <c r="A102" s="52"/>
      <c r="B102" s="52"/>
      <c r="C102" s="21" t="s">
        <v>158</v>
      </c>
      <c r="D102" s="10" t="str">
        <f>'Оборудование и материалы'!$A$110</f>
        <v>Влагозащищенный прокалывающий зажим SLIP 12.127</v>
      </c>
      <c r="E102" s="233" t="s">
        <v>7</v>
      </c>
      <c r="F102" s="64">
        <f>'Оборудование и материалы'!$D$110</f>
        <v>208.23728813559322</v>
      </c>
      <c r="G102" s="31">
        <f>G99*2</f>
        <v>14</v>
      </c>
      <c r="H102" s="64">
        <f t="shared" si="4"/>
        <v>2915.3220338983051</v>
      </c>
    </row>
    <row r="103" spans="1:8" ht="13.7" customHeight="1" x14ac:dyDescent="0.25">
      <c r="A103" s="52"/>
      <c r="B103" s="52"/>
      <c r="C103" s="21" t="s">
        <v>13</v>
      </c>
      <c r="D103" s="129" t="str">
        <f>'Оборудование и материалы'!$A$111</f>
        <v>Анкерный зажим SO158.1</v>
      </c>
      <c r="E103" s="233" t="s">
        <v>7</v>
      </c>
      <c r="F103" s="64">
        <f>'Оборудование и материалы'!$D$111</f>
        <v>153.5593220338983</v>
      </c>
      <c r="G103" s="31">
        <f>G99*2</f>
        <v>14</v>
      </c>
      <c r="H103" s="64">
        <f t="shared" si="4"/>
        <v>2149.8305084745762</v>
      </c>
    </row>
    <row r="104" spans="1:8" ht="13.7" customHeight="1" x14ac:dyDescent="0.25">
      <c r="A104" s="52"/>
      <c r="B104" s="52"/>
      <c r="C104" s="21" t="s">
        <v>115</v>
      </c>
      <c r="D104" s="129" t="str">
        <f>'Оборудование и материалы'!$A$112</f>
        <v>Анкерный кронштейн SO253</v>
      </c>
      <c r="E104" s="233" t="s">
        <v>7</v>
      </c>
      <c r="F104" s="64">
        <f>'Оборудование и материалы'!$D$112</f>
        <v>247.12711864406782</v>
      </c>
      <c r="G104" s="31">
        <f>G99*1</f>
        <v>7</v>
      </c>
      <c r="H104" s="64">
        <f t="shared" si="4"/>
        <v>1729.8898305084747</v>
      </c>
    </row>
    <row r="105" spans="1:8" ht="13.7" customHeight="1" x14ac:dyDescent="0.25">
      <c r="A105" s="52"/>
      <c r="B105" s="52"/>
      <c r="C105" s="21" t="s">
        <v>14</v>
      </c>
      <c r="D105" s="129" t="str">
        <f>'Оборудование и материалы'!$A$113</f>
        <v>Крюк-болт  (Анкерный крюк) SOT16.12</v>
      </c>
      <c r="E105" s="233" t="s">
        <v>7</v>
      </c>
      <c r="F105" s="64">
        <f>'Оборудование и материалы'!$D$113</f>
        <v>96.788135593220332</v>
      </c>
      <c r="G105" s="31">
        <f>G99*1</f>
        <v>7</v>
      </c>
      <c r="H105" s="64">
        <f t="shared" si="4"/>
        <v>677.51694915254234</v>
      </c>
    </row>
    <row r="106" spans="1:8" ht="13.7" customHeight="1" x14ac:dyDescent="0.25">
      <c r="A106" s="52"/>
      <c r="B106" s="52"/>
      <c r="C106" s="21" t="s">
        <v>15</v>
      </c>
      <c r="D106" s="129" t="str">
        <f>'Оборудование и материалы'!$A$114</f>
        <v>Монтажная стальная лента из нержавеющей стали  COT37</v>
      </c>
      <c r="E106" s="233" t="s">
        <v>7</v>
      </c>
      <c r="F106" s="64">
        <f>'Оборудование и материалы'!$D$114</f>
        <v>75.271186440677965</v>
      </c>
      <c r="G106" s="31">
        <f>G99*2</f>
        <v>14</v>
      </c>
      <c r="H106" s="64">
        <f t="shared" si="4"/>
        <v>1053.7966101694915</v>
      </c>
    </row>
    <row r="107" spans="1:8" ht="13.7" customHeight="1" x14ac:dyDescent="0.25">
      <c r="A107" s="52"/>
      <c r="B107" s="52"/>
      <c r="C107" s="21" t="s">
        <v>9</v>
      </c>
      <c r="D107" s="129" t="str">
        <f>'Оборудование и материалы'!$A$115</f>
        <v>Скрепа COT36</v>
      </c>
      <c r="E107" s="233" t="s">
        <v>7</v>
      </c>
      <c r="F107" s="64">
        <f>'Оборудование и материалы'!$D$115</f>
        <v>18.694915254237287</v>
      </c>
      <c r="G107" s="31">
        <f>G99*2</f>
        <v>14</v>
      </c>
      <c r="H107" s="64">
        <f t="shared" si="4"/>
        <v>261.72881355932202</v>
      </c>
    </row>
    <row r="108" spans="1:8" ht="13.7" customHeight="1" x14ac:dyDescent="0.25">
      <c r="A108" s="59"/>
      <c r="B108" s="59"/>
      <c r="C108" s="8" t="s">
        <v>16</v>
      </c>
      <c r="D108" s="13" t="str">
        <f>'Оборудование и материалы'!$A$179</f>
        <v>Крепление кронштейна и кабеля анкерный болт, гайка, шайба, стяжка</v>
      </c>
      <c r="E108" s="24" t="s">
        <v>7</v>
      </c>
      <c r="F108" s="60">
        <f>'Оборудование и материалы'!$D$179</f>
        <v>508.47457627118649</v>
      </c>
      <c r="G108" s="24">
        <f>G99*1</f>
        <v>7</v>
      </c>
      <c r="H108" s="60">
        <f t="shared" si="4"/>
        <v>3559.3220338983056</v>
      </c>
    </row>
    <row r="109" spans="1:8" ht="13.7" customHeight="1" x14ac:dyDescent="0.25">
      <c r="A109" s="59"/>
      <c r="B109" s="59"/>
      <c r="C109" s="124"/>
      <c r="D109" s="125"/>
      <c r="E109" s="24"/>
      <c r="F109" s="60"/>
      <c r="G109" s="24"/>
      <c r="H109" s="60"/>
    </row>
    <row r="110" spans="1:8" ht="13.7" customHeight="1" x14ac:dyDescent="0.25">
      <c r="A110" s="59"/>
      <c r="B110" s="59"/>
      <c r="C110" s="124"/>
      <c r="D110" s="14" t="s">
        <v>62</v>
      </c>
      <c r="E110" s="24"/>
      <c r="F110" s="60"/>
      <c r="G110" s="24"/>
      <c r="H110" s="60">
        <f>SUM(H99:H99)</f>
        <v>74772.220338983054</v>
      </c>
    </row>
    <row r="111" spans="1:8" ht="13.7" customHeight="1" x14ac:dyDescent="0.25">
      <c r="A111" s="59"/>
      <c r="B111" s="59"/>
      <c r="C111" s="124"/>
      <c r="D111" s="117" t="s">
        <v>107</v>
      </c>
      <c r="E111" s="24"/>
      <c r="F111" s="60"/>
      <c r="G111" s="24"/>
      <c r="H111" s="60">
        <f>SUM(H100:H108)</f>
        <v>21978.848245913046</v>
      </c>
    </row>
    <row r="112" spans="1:8" ht="13.7" customHeight="1" x14ac:dyDescent="0.25">
      <c r="A112" s="59"/>
      <c r="B112" s="59"/>
      <c r="C112" s="124"/>
      <c r="D112" s="15" t="s">
        <v>131</v>
      </c>
      <c r="E112" s="24"/>
      <c r="F112" s="60"/>
      <c r="G112" s="131">
        <f>G99</f>
        <v>7</v>
      </c>
      <c r="H112" s="132">
        <f>F112*G112</f>
        <v>0</v>
      </c>
    </row>
    <row r="113" spans="1:8" ht="13.7" hidden="1" customHeight="1" x14ac:dyDescent="0.25">
      <c r="A113" s="89"/>
      <c r="B113" s="89"/>
      <c r="C113" s="175" t="s">
        <v>201</v>
      </c>
      <c r="D113" s="173"/>
      <c r="E113" s="91"/>
      <c r="F113" s="92"/>
      <c r="G113" s="91"/>
      <c r="H113" s="92"/>
    </row>
    <row r="114" spans="1:8" s="241" customFormat="1" ht="61.5" hidden="1" customHeight="1" x14ac:dyDescent="0.25">
      <c r="A114" s="59"/>
      <c r="B114" s="59"/>
      <c r="C114" s="171" t="s">
        <v>6</v>
      </c>
      <c r="D114" s="171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114" s="24" t="s">
        <v>7</v>
      </c>
      <c r="F114" s="60">
        <f>'Оборудование и материалы'!$D$16</f>
        <v>10681.745762711864</v>
      </c>
      <c r="G114" s="24">
        <v>0</v>
      </c>
      <c r="H114" s="60">
        <f>G114*F114</f>
        <v>0</v>
      </c>
    </row>
    <row r="115" spans="1:8" s="241" customFormat="1" ht="13.7" hidden="1" customHeight="1" x14ac:dyDescent="0.25">
      <c r="A115" s="59"/>
      <c r="B115" s="59"/>
      <c r="C115" s="171" t="s">
        <v>12</v>
      </c>
      <c r="D115" s="171" t="str">
        <f>'Оборудование и материалы'!$A$91</f>
        <v>Провод СИП4 2х16 мм2</v>
      </c>
      <c r="E115" s="24" t="s">
        <v>8</v>
      </c>
      <c r="F115" s="60">
        <f>'Оборудование и материалы'!$D$91</f>
        <v>38.964228813559323</v>
      </c>
      <c r="G115" s="24">
        <f>G114*25</f>
        <v>0</v>
      </c>
      <c r="H115" s="60">
        <f t="shared" ref="H115:H124" si="5">G115*F115</f>
        <v>0</v>
      </c>
    </row>
    <row r="116" spans="1:8" s="241" customFormat="1" ht="13.7" hidden="1" customHeight="1" x14ac:dyDescent="0.25">
      <c r="A116" s="59"/>
      <c r="B116" s="59"/>
      <c r="C116" s="171" t="s">
        <v>69</v>
      </c>
      <c r="D116" s="171" t="str">
        <f>'Оборудование и материалы'!$A$93</f>
        <v xml:space="preserve">Кабель АВВГнг LS 2х16 мм2 </v>
      </c>
      <c r="E116" s="24" t="s">
        <v>8</v>
      </c>
      <c r="F116" s="60">
        <f>'Оборудование и материалы'!$D$93</f>
        <v>57.152542372881356</v>
      </c>
      <c r="G116" s="24">
        <f>G114*6</f>
        <v>0</v>
      </c>
      <c r="H116" s="60">
        <f t="shared" si="5"/>
        <v>0</v>
      </c>
    </row>
    <row r="117" spans="1:8" s="241" customFormat="1" ht="13.7" hidden="1" customHeight="1" x14ac:dyDescent="0.25">
      <c r="A117" s="59"/>
      <c r="B117" s="59"/>
      <c r="C117" s="171" t="s">
        <v>158</v>
      </c>
      <c r="D117" s="171" t="str">
        <f>'Оборудование и материалы'!$A$109</f>
        <v>Влагозащищенный прокалывающий зажим SLIP 12.1</v>
      </c>
      <c r="E117" s="24" t="s">
        <v>7</v>
      </c>
      <c r="F117" s="60">
        <f>'Оборудование и материалы'!$D$109</f>
        <v>200.90724456279662</v>
      </c>
      <c r="G117" s="24">
        <f>G114*2</f>
        <v>0</v>
      </c>
      <c r="H117" s="60">
        <f t="shared" si="5"/>
        <v>0</v>
      </c>
    </row>
    <row r="118" spans="1:8" s="241" customFormat="1" ht="13.7" hidden="1" customHeight="1" x14ac:dyDescent="0.25">
      <c r="A118" s="59"/>
      <c r="B118" s="59"/>
      <c r="C118" s="171" t="s">
        <v>158</v>
      </c>
      <c r="D118" s="171" t="str">
        <f>'Оборудование и материалы'!$A$110</f>
        <v>Влагозащищенный прокалывающий зажим SLIP 12.127</v>
      </c>
      <c r="E118" s="24" t="s">
        <v>7</v>
      </c>
      <c r="F118" s="60">
        <f>'Оборудование и материалы'!$D$110</f>
        <v>208.23728813559322</v>
      </c>
      <c r="G118" s="24">
        <f>G114*2</f>
        <v>0</v>
      </c>
      <c r="H118" s="60">
        <f t="shared" si="5"/>
        <v>0</v>
      </c>
    </row>
    <row r="119" spans="1:8" s="241" customFormat="1" ht="13.7" hidden="1" customHeight="1" x14ac:dyDescent="0.25">
      <c r="A119" s="59"/>
      <c r="B119" s="59"/>
      <c r="C119" s="171" t="s">
        <v>13</v>
      </c>
      <c r="D119" s="171" t="str">
        <f>'Оборудование и материалы'!$A$111</f>
        <v>Анкерный зажим SO158.1</v>
      </c>
      <c r="E119" s="24" t="s">
        <v>7</v>
      </c>
      <c r="F119" s="60">
        <f>'Оборудование и материалы'!$D$111</f>
        <v>153.5593220338983</v>
      </c>
      <c r="G119" s="24">
        <f>G114*2</f>
        <v>0</v>
      </c>
      <c r="H119" s="60">
        <f t="shared" si="5"/>
        <v>0</v>
      </c>
    </row>
    <row r="120" spans="1:8" s="241" customFormat="1" ht="13.7" hidden="1" customHeight="1" x14ac:dyDescent="0.25">
      <c r="A120" s="59"/>
      <c r="B120" s="59"/>
      <c r="C120" s="171" t="s">
        <v>115</v>
      </c>
      <c r="D120" s="171" t="str">
        <f>'Оборудование и материалы'!$A$112</f>
        <v>Анкерный кронштейн SO253</v>
      </c>
      <c r="E120" s="24" t="s">
        <v>7</v>
      </c>
      <c r="F120" s="60">
        <f>'Оборудование и материалы'!$D$112</f>
        <v>247.12711864406782</v>
      </c>
      <c r="G120" s="24">
        <f>G114*1</f>
        <v>0</v>
      </c>
      <c r="H120" s="60">
        <f t="shared" si="5"/>
        <v>0</v>
      </c>
    </row>
    <row r="121" spans="1:8" s="241" customFormat="1" ht="13.7" hidden="1" customHeight="1" x14ac:dyDescent="0.25">
      <c r="A121" s="59"/>
      <c r="B121" s="59"/>
      <c r="C121" s="171" t="s">
        <v>14</v>
      </c>
      <c r="D121" s="171" t="str">
        <f>'Оборудование и материалы'!$A$113</f>
        <v>Крюк-болт  (Анкерный крюк) SOT16.12</v>
      </c>
      <c r="E121" s="24" t="s">
        <v>7</v>
      </c>
      <c r="F121" s="60">
        <f>'Оборудование и материалы'!$D$113</f>
        <v>96.788135593220332</v>
      </c>
      <c r="G121" s="24">
        <f>G114*1</f>
        <v>0</v>
      </c>
      <c r="H121" s="60">
        <f t="shared" si="5"/>
        <v>0</v>
      </c>
    </row>
    <row r="122" spans="1:8" s="241" customFormat="1" ht="13.7" hidden="1" customHeight="1" x14ac:dyDescent="0.25">
      <c r="A122" s="59"/>
      <c r="B122" s="59"/>
      <c r="C122" s="171" t="s">
        <v>15</v>
      </c>
      <c r="D122" s="171" t="str">
        <f>'Оборудование и материалы'!$A$114</f>
        <v>Монтажная стальная лента из нержавеющей стали  COT37</v>
      </c>
      <c r="E122" s="24" t="s">
        <v>7</v>
      </c>
      <c r="F122" s="60">
        <f>'Оборудование и материалы'!$D$114</f>
        <v>75.271186440677965</v>
      </c>
      <c r="G122" s="24">
        <f>G114*2</f>
        <v>0</v>
      </c>
      <c r="H122" s="60">
        <f t="shared" si="5"/>
        <v>0</v>
      </c>
    </row>
    <row r="123" spans="1:8" s="241" customFormat="1" ht="13.7" hidden="1" customHeight="1" x14ac:dyDescent="0.25">
      <c r="A123" s="59"/>
      <c r="B123" s="59"/>
      <c r="C123" s="171" t="s">
        <v>9</v>
      </c>
      <c r="D123" s="171" t="str">
        <f>'Оборудование и материалы'!$A$115</f>
        <v>Скрепа COT36</v>
      </c>
      <c r="E123" s="24" t="s">
        <v>7</v>
      </c>
      <c r="F123" s="60">
        <f>'Оборудование и материалы'!$D$115</f>
        <v>18.694915254237287</v>
      </c>
      <c r="G123" s="24">
        <f>G114*2</f>
        <v>0</v>
      </c>
      <c r="H123" s="60">
        <f t="shared" si="5"/>
        <v>0</v>
      </c>
    </row>
    <row r="124" spans="1:8" s="241" customFormat="1" ht="13.7" hidden="1" customHeight="1" x14ac:dyDescent="0.25">
      <c r="A124" s="59"/>
      <c r="B124" s="59"/>
      <c r="C124" s="171" t="s">
        <v>16</v>
      </c>
      <c r="D124" s="171" t="str">
        <f>'Оборудование и материалы'!$A$179</f>
        <v>Крепление кронштейна и кабеля анкерный болт, гайка, шайба, стяжка</v>
      </c>
      <c r="E124" s="24" t="s">
        <v>7</v>
      </c>
      <c r="F124" s="60">
        <f>'Оборудование и материалы'!$D$179</f>
        <v>508.47457627118649</v>
      </c>
      <c r="G124" s="24">
        <f>G114*1</f>
        <v>0</v>
      </c>
      <c r="H124" s="60">
        <f t="shared" si="5"/>
        <v>0</v>
      </c>
    </row>
    <row r="125" spans="1:8" s="241" customFormat="1" ht="13.7" hidden="1" customHeight="1" x14ac:dyDescent="0.25">
      <c r="A125" s="59"/>
      <c r="B125" s="59"/>
      <c r="C125" s="171"/>
      <c r="D125" s="176"/>
      <c r="E125" s="24"/>
      <c r="F125" s="60"/>
      <c r="G125" s="24"/>
      <c r="H125" s="60"/>
    </row>
    <row r="126" spans="1:8" s="241" customFormat="1" ht="13.7" hidden="1" customHeight="1" x14ac:dyDescent="0.25">
      <c r="A126" s="59"/>
      <c r="B126" s="59"/>
      <c r="C126" s="171"/>
      <c r="D126" s="177" t="s">
        <v>62</v>
      </c>
      <c r="E126" s="24"/>
      <c r="F126" s="60"/>
      <c r="G126" s="24"/>
      <c r="H126" s="60">
        <f>SUM(H114:H114)</f>
        <v>0</v>
      </c>
    </row>
    <row r="127" spans="1:8" s="241" customFormat="1" ht="13.7" hidden="1" customHeight="1" x14ac:dyDescent="0.25">
      <c r="A127" s="59"/>
      <c r="B127" s="59"/>
      <c r="C127" s="171"/>
      <c r="D127" s="177" t="s">
        <v>107</v>
      </c>
      <c r="E127" s="24"/>
      <c r="F127" s="60"/>
      <c r="G127" s="24"/>
      <c r="H127" s="60">
        <f>SUM(H115:H124)</f>
        <v>0</v>
      </c>
    </row>
    <row r="128" spans="1:8" s="241" customFormat="1" ht="13.7" hidden="1" customHeight="1" x14ac:dyDescent="0.25">
      <c r="A128" s="59"/>
      <c r="B128" s="59"/>
      <c r="C128" s="171"/>
      <c r="D128" s="177" t="s">
        <v>131</v>
      </c>
      <c r="E128" s="24"/>
      <c r="F128" s="60"/>
      <c r="G128" s="131">
        <f>G114</f>
        <v>0</v>
      </c>
      <c r="H128" s="132">
        <f>G128*F128</f>
        <v>0</v>
      </c>
    </row>
    <row r="129" spans="1:8" s="241" customFormat="1" ht="13.7" hidden="1" customHeight="1" x14ac:dyDescent="0.25">
      <c r="A129" s="157"/>
      <c r="B129" s="157"/>
      <c r="C129" s="179" t="s">
        <v>202</v>
      </c>
      <c r="D129" s="178" t="s">
        <v>195</v>
      </c>
      <c r="E129" s="158"/>
      <c r="F129" s="159"/>
      <c r="G129" s="158"/>
      <c r="H129" s="159"/>
    </row>
    <row r="130" spans="1:8" s="241" customFormat="1" ht="61.5" hidden="1" customHeight="1" x14ac:dyDescent="0.25">
      <c r="A130" s="59"/>
      <c r="B130" s="59"/>
      <c r="C130" s="171" t="s">
        <v>6</v>
      </c>
      <c r="D130" s="171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130" s="24" t="s">
        <v>7</v>
      </c>
      <c r="F130" s="60">
        <f>'Оборудование и материалы'!$D$16</f>
        <v>10681.745762711864</v>
      </c>
      <c r="G130" s="24">
        <v>0</v>
      </c>
      <c r="H130" s="60">
        <f>F130*G130</f>
        <v>0</v>
      </c>
    </row>
    <row r="131" spans="1:8" s="241" customFormat="1" ht="13.7" hidden="1" customHeight="1" x14ac:dyDescent="0.25">
      <c r="A131" s="59"/>
      <c r="B131" s="59"/>
      <c r="C131" s="171" t="s">
        <v>12</v>
      </c>
      <c r="D131" s="171" t="str">
        <f>'Оборудование и материалы'!$A$91</f>
        <v>Провод СИП4 2х16 мм2</v>
      </c>
      <c r="E131" s="24" t="s">
        <v>8</v>
      </c>
      <c r="F131" s="60">
        <f>'Оборудование и материалы'!$D$91</f>
        <v>38.964228813559323</v>
      </c>
      <c r="G131" s="24">
        <f>G130*4</f>
        <v>0</v>
      </c>
      <c r="H131" s="60">
        <f>F131*G131</f>
        <v>0</v>
      </c>
    </row>
    <row r="132" spans="1:8" s="241" customFormat="1" ht="13.7" hidden="1" customHeight="1" x14ac:dyDescent="0.25">
      <c r="A132" s="59"/>
      <c r="B132" s="59"/>
      <c r="C132" s="171" t="s">
        <v>158</v>
      </c>
      <c r="D132" s="171" t="str">
        <f>'Оборудование и материалы'!$A$109</f>
        <v>Влагозащищенный прокалывающий зажим SLIP 12.1</v>
      </c>
      <c r="E132" s="24" t="s">
        <v>7</v>
      </c>
      <c r="F132" s="60">
        <f>'Оборудование и материалы'!$D$109</f>
        <v>200.90724456279662</v>
      </c>
      <c r="G132" s="24">
        <f>G130*2</f>
        <v>0</v>
      </c>
      <c r="H132" s="60">
        <f>F132*G132</f>
        <v>0</v>
      </c>
    </row>
    <row r="133" spans="1:8" s="241" customFormat="1" ht="13.7" hidden="1" customHeight="1" x14ac:dyDescent="0.25">
      <c r="A133" s="59"/>
      <c r="B133" s="59"/>
      <c r="C133" s="170"/>
      <c r="D133" s="169"/>
      <c r="E133" s="24"/>
      <c r="F133" s="60"/>
      <c r="G133" s="131"/>
      <c r="H133" s="132"/>
    </row>
    <row r="134" spans="1:8" s="241" customFormat="1" ht="13.7" hidden="1" customHeight="1" x14ac:dyDescent="0.25">
      <c r="A134" s="59"/>
      <c r="B134" s="59"/>
      <c r="C134" s="170"/>
      <c r="D134" s="168" t="s">
        <v>62</v>
      </c>
      <c r="E134" s="24"/>
      <c r="F134" s="60"/>
      <c r="G134" s="131"/>
      <c r="H134" s="60">
        <f>H130</f>
        <v>0</v>
      </c>
    </row>
    <row r="135" spans="1:8" s="241" customFormat="1" ht="13.7" hidden="1" customHeight="1" x14ac:dyDescent="0.25">
      <c r="A135" s="59"/>
      <c r="B135" s="59"/>
      <c r="C135" s="170"/>
      <c r="D135" s="168" t="s">
        <v>107</v>
      </c>
      <c r="E135" s="24"/>
      <c r="F135" s="60"/>
      <c r="G135" s="131"/>
      <c r="H135" s="60">
        <f>H131+H132</f>
        <v>0</v>
      </c>
    </row>
    <row r="136" spans="1:8" s="241" customFormat="1" ht="13.7" hidden="1" customHeight="1" x14ac:dyDescent="0.25">
      <c r="A136" s="59"/>
      <c r="B136" s="59"/>
      <c r="C136" s="170"/>
      <c r="D136" s="168" t="s">
        <v>131</v>
      </c>
      <c r="E136" s="24"/>
      <c r="F136" s="60"/>
      <c r="G136" s="131">
        <f>G129</f>
        <v>0</v>
      </c>
      <c r="H136" s="132">
        <f>G136*F136</f>
        <v>0</v>
      </c>
    </row>
    <row r="137" spans="1:8" s="241" customFormat="1" ht="13.7" hidden="1" customHeight="1" x14ac:dyDescent="0.25">
      <c r="A137" s="157"/>
      <c r="B137" s="157"/>
      <c r="C137" s="175" t="s">
        <v>203</v>
      </c>
      <c r="D137" s="173" t="s">
        <v>198</v>
      </c>
      <c r="E137" s="158"/>
      <c r="F137" s="159"/>
      <c r="G137" s="160"/>
      <c r="H137" s="161"/>
    </row>
    <row r="138" spans="1:8" s="241" customFormat="1" ht="51.95" hidden="1" customHeight="1" x14ac:dyDescent="0.25">
      <c r="A138" s="59"/>
      <c r="B138" s="59"/>
      <c r="C138" s="8" t="s">
        <v>6</v>
      </c>
      <c r="D138" s="171" t="str">
        <f>'Оборудование и материалы'!$A$58</f>
        <v>Однофазный прибор учета (8-тарифов, класс.точности (А/Р)- 1,0/2,0,  Uном -220(230) Iном (макс) 5-(100)А, встроенный приемо-передатчик RF, PLC, функция ретранслятора и радиомоста, RS-485, оптопорт, 3-дискретных выхода, 2-канала измерения, -40…+70 °С) или аналог.</v>
      </c>
      <c r="E138" s="24" t="s">
        <v>7</v>
      </c>
      <c r="F138" s="60">
        <f>'Оборудование и материалы'!$D$15</f>
        <v>3813.5593220338983</v>
      </c>
      <c r="G138" s="131">
        <v>0</v>
      </c>
      <c r="H138" s="60">
        <f>F138*G138</f>
        <v>0</v>
      </c>
    </row>
    <row r="139" spans="1:8" ht="13.7" hidden="1" customHeight="1" x14ac:dyDescent="0.25">
      <c r="A139" s="59"/>
      <c r="B139" s="59"/>
      <c r="C139" s="8"/>
      <c r="D139" s="15"/>
      <c r="E139" s="24"/>
      <c r="F139" s="60"/>
      <c r="G139" s="131"/>
      <c r="H139" s="132"/>
    </row>
    <row r="140" spans="1:8" ht="13.7" hidden="1" customHeight="1" x14ac:dyDescent="0.25">
      <c r="A140" s="59"/>
      <c r="B140" s="59"/>
      <c r="C140" s="8"/>
      <c r="D140" s="14" t="s">
        <v>62</v>
      </c>
      <c r="E140" s="24"/>
      <c r="F140" s="60"/>
      <c r="G140" s="131"/>
      <c r="H140" s="60">
        <f>H138</f>
        <v>0</v>
      </c>
    </row>
    <row r="141" spans="1:8" ht="13.7" hidden="1" customHeight="1" x14ac:dyDescent="0.25">
      <c r="A141" s="59"/>
      <c r="B141" s="59"/>
      <c r="C141" s="8"/>
      <c r="D141" s="15" t="s">
        <v>131</v>
      </c>
      <c r="E141" s="24"/>
      <c r="F141" s="60"/>
      <c r="G141" s="131">
        <f>G138</f>
        <v>0</v>
      </c>
      <c r="H141" s="132">
        <f>F141*G141</f>
        <v>0</v>
      </c>
    </row>
    <row r="142" spans="1:8" ht="13.7" customHeight="1" x14ac:dyDescent="0.25">
      <c r="A142" s="89"/>
      <c r="B142" s="89"/>
      <c r="C142" s="85" t="s">
        <v>238</v>
      </c>
      <c r="D142" s="90"/>
      <c r="E142" s="91"/>
      <c r="F142" s="92"/>
      <c r="G142" s="91"/>
      <c r="H142" s="92"/>
    </row>
    <row r="143" spans="1:8" ht="62.1" customHeight="1" x14ac:dyDescent="0.25">
      <c r="A143" s="59"/>
      <c r="B143" s="59"/>
      <c r="C143" s="1" t="s">
        <v>21</v>
      </c>
      <c r="D143" s="183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143" s="233" t="s">
        <v>7</v>
      </c>
      <c r="F143" s="60">
        <f>'Оборудование и материалы'!$D$17</f>
        <v>18389.830508474577</v>
      </c>
      <c r="G143" s="24">
        <v>11</v>
      </c>
      <c r="H143" s="60">
        <f t="shared" ref="H143:H152" si="6">F143*G143</f>
        <v>202288.13559322036</v>
      </c>
    </row>
    <row r="144" spans="1:8" ht="13.7" customHeight="1" x14ac:dyDescent="0.25">
      <c r="A144" s="59"/>
      <c r="B144" s="59"/>
      <c r="C144" s="3" t="s">
        <v>22</v>
      </c>
      <c r="D144" s="1" t="str">
        <f>'Оборудование и материалы'!$A$92</f>
        <v>Провод СИП4 4х25 мм2</v>
      </c>
      <c r="E144" s="233" t="s">
        <v>8</v>
      </c>
      <c r="F144" s="60">
        <f>'Оборудование и материалы'!$D$92</f>
        <v>112.3198220338983</v>
      </c>
      <c r="G144" s="24">
        <f>G143*25</f>
        <v>275</v>
      </c>
      <c r="H144" s="60">
        <f t="shared" si="6"/>
        <v>30887.951059322033</v>
      </c>
    </row>
    <row r="145" spans="1:8" ht="13.7" customHeight="1" x14ac:dyDescent="0.25">
      <c r="A145" s="59"/>
      <c r="B145" s="59"/>
      <c r="C145" s="21" t="s">
        <v>158</v>
      </c>
      <c r="D145" s="10" t="str">
        <f>'Оборудование и материалы'!$A$109</f>
        <v>Влагозащищенный прокалывающий зажим SLIP 12.1</v>
      </c>
      <c r="E145" s="233" t="s">
        <v>7</v>
      </c>
      <c r="F145" s="60">
        <f>'Оборудование и материалы'!$D$109</f>
        <v>200.90724456279662</v>
      </c>
      <c r="G145" s="24">
        <f>G143*4</f>
        <v>44</v>
      </c>
      <c r="H145" s="60">
        <f t="shared" si="6"/>
        <v>8839.918760763052</v>
      </c>
    </row>
    <row r="146" spans="1:8" ht="13.7" customHeight="1" x14ac:dyDescent="0.25">
      <c r="A146" s="59"/>
      <c r="B146" s="59"/>
      <c r="C146" s="21" t="s">
        <v>158</v>
      </c>
      <c r="D146" s="10" t="str">
        <f>'Оборудование и материалы'!A110</f>
        <v>Влагозащищенный прокалывающий зажим SLIP 12.127</v>
      </c>
      <c r="E146" s="233" t="s">
        <v>7</v>
      </c>
      <c r="F146" s="60">
        <f>'Оборудование и материалы'!D110</f>
        <v>208.23728813559322</v>
      </c>
      <c r="G146" s="24">
        <f>G143*4</f>
        <v>44</v>
      </c>
      <c r="H146" s="60">
        <f t="shared" si="6"/>
        <v>9162.4406779661022</v>
      </c>
    </row>
    <row r="147" spans="1:8" ht="13.7" customHeight="1" x14ac:dyDescent="0.25">
      <c r="A147" s="59"/>
      <c r="B147" s="59"/>
      <c r="C147" s="2" t="s">
        <v>13</v>
      </c>
      <c r="D147" s="129" t="str">
        <f>'Оборудование и материалы'!$A$111</f>
        <v>Анкерный зажим SO158.1</v>
      </c>
      <c r="E147" s="233" t="s">
        <v>7</v>
      </c>
      <c r="F147" s="60">
        <f>'Оборудование и материалы'!$D$111</f>
        <v>153.5593220338983</v>
      </c>
      <c r="G147" s="24">
        <f>G143*2</f>
        <v>22</v>
      </c>
      <c r="H147" s="60">
        <f t="shared" si="6"/>
        <v>3378.3050847457625</v>
      </c>
    </row>
    <row r="148" spans="1:8" ht="13.7" customHeight="1" x14ac:dyDescent="0.25">
      <c r="A148" s="59"/>
      <c r="B148" s="59"/>
      <c r="C148" s="21" t="s">
        <v>115</v>
      </c>
      <c r="D148" s="129" t="str">
        <f>'Оборудование и материалы'!$A$112</f>
        <v>Анкерный кронштейн SO253</v>
      </c>
      <c r="E148" s="233" t="s">
        <v>7</v>
      </c>
      <c r="F148" s="60">
        <f>'Оборудование и материалы'!$D$112</f>
        <v>247.12711864406782</v>
      </c>
      <c r="G148" s="24">
        <f>G143*1</f>
        <v>11</v>
      </c>
      <c r="H148" s="60">
        <f t="shared" si="6"/>
        <v>2718.398305084746</v>
      </c>
    </row>
    <row r="149" spans="1:8" ht="13.7" customHeight="1" x14ac:dyDescent="0.25">
      <c r="A149" s="59"/>
      <c r="B149" s="59"/>
      <c r="C149" s="4" t="s">
        <v>14</v>
      </c>
      <c r="D149" s="129" t="str">
        <f>'Оборудование и материалы'!$A$113</f>
        <v>Крюк-болт  (Анкерный крюк) SOT16.12</v>
      </c>
      <c r="E149" s="233" t="s">
        <v>7</v>
      </c>
      <c r="F149" s="60">
        <f>'Оборудование и материалы'!$D$113</f>
        <v>96.788135593220332</v>
      </c>
      <c r="G149" s="24">
        <f>G143*1</f>
        <v>11</v>
      </c>
      <c r="H149" s="60">
        <f t="shared" si="6"/>
        <v>1064.6694915254236</v>
      </c>
    </row>
    <row r="150" spans="1:8" ht="13.7" customHeight="1" x14ac:dyDescent="0.25">
      <c r="A150" s="59"/>
      <c r="B150" s="59"/>
      <c r="C150" s="2" t="s">
        <v>15</v>
      </c>
      <c r="D150" s="129" t="str">
        <f>'Оборудование и материалы'!$A$114</f>
        <v>Монтажная стальная лента из нержавеющей стали  COT37</v>
      </c>
      <c r="E150" s="31" t="s">
        <v>8</v>
      </c>
      <c r="F150" s="60">
        <f>'Оборудование и материалы'!$D$114</f>
        <v>75.271186440677965</v>
      </c>
      <c r="G150" s="24">
        <f>G143*4</f>
        <v>44</v>
      </c>
      <c r="H150" s="60">
        <f t="shared" si="6"/>
        <v>3311.9322033898306</v>
      </c>
    </row>
    <row r="151" spans="1:8" ht="13.7" customHeight="1" x14ac:dyDescent="0.25">
      <c r="A151" s="59"/>
      <c r="B151" s="59"/>
      <c r="C151" s="2" t="s">
        <v>9</v>
      </c>
      <c r="D151" s="129" t="str">
        <f>'Оборудование и материалы'!$A$115</f>
        <v>Скрепа COT36</v>
      </c>
      <c r="E151" s="31" t="s">
        <v>7</v>
      </c>
      <c r="F151" s="60">
        <f>'Оборудование и материалы'!$D$115</f>
        <v>18.694915254237287</v>
      </c>
      <c r="G151" s="24">
        <f>G143*4</f>
        <v>44</v>
      </c>
      <c r="H151" s="60">
        <f t="shared" si="6"/>
        <v>822.57627118644064</v>
      </c>
    </row>
    <row r="152" spans="1:8" ht="13.7" customHeight="1" x14ac:dyDescent="0.25">
      <c r="A152" s="59"/>
      <c r="B152" s="59"/>
      <c r="C152" s="2" t="s">
        <v>16</v>
      </c>
      <c r="D152" s="13" t="str">
        <f>'Оборудование и материалы'!$A$179</f>
        <v>Крепление кронштейна и кабеля анкерный болт, гайка, шайба, стяжка</v>
      </c>
      <c r="E152" s="24" t="s">
        <v>7</v>
      </c>
      <c r="F152" s="60">
        <f>'Оборудование и материалы'!$D$179</f>
        <v>508.47457627118649</v>
      </c>
      <c r="G152" s="24">
        <f>G143*1</f>
        <v>11</v>
      </c>
      <c r="H152" s="60">
        <f t="shared" si="6"/>
        <v>5593.2203389830511</v>
      </c>
    </row>
    <row r="153" spans="1:8" ht="13.7" customHeight="1" x14ac:dyDescent="0.25">
      <c r="A153" s="59"/>
      <c r="B153" s="59"/>
      <c r="C153" s="8"/>
      <c r="D153" s="13"/>
      <c r="E153" s="24"/>
      <c r="F153" s="60"/>
      <c r="H153" s="60"/>
    </row>
    <row r="154" spans="1:8" ht="13.7" customHeight="1" x14ac:dyDescent="0.25">
      <c r="A154" s="59"/>
      <c r="B154" s="59"/>
      <c r="C154" s="8"/>
      <c r="D154" s="14" t="s">
        <v>62</v>
      </c>
      <c r="E154" s="24"/>
      <c r="F154" s="60"/>
      <c r="G154" s="24"/>
      <c r="H154" s="60">
        <f>SUM(H143:H143)</f>
        <v>202288.13559322036</v>
      </c>
    </row>
    <row r="155" spans="1:8" ht="13.7" customHeight="1" x14ac:dyDescent="0.25">
      <c r="A155" s="59"/>
      <c r="B155" s="59"/>
      <c r="C155" s="8"/>
      <c r="D155" s="117" t="s">
        <v>107</v>
      </c>
      <c r="E155" s="24"/>
      <c r="F155" s="60"/>
      <c r="G155" s="24"/>
      <c r="H155" s="60">
        <f>SUM(H144:H152)</f>
        <v>65779.41219296644</v>
      </c>
    </row>
    <row r="156" spans="1:8" ht="13.7" customHeight="1" x14ac:dyDescent="0.25">
      <c r="A156" s="59"/>
      <c r="B156" s="59"/>
      <c r="C156" s="8"/>
      <c r="D156" s="15" t="s">
        <v>131</v>
      </c>
      <c r="E156" s="24"/>
      <c r="F156" s="60"/>
      <c r="G156" s="131">
        <f>G143</f>
        <v>11</v>
      </c>
      <c r="H156" s="132">
        <f>F156*G156</f>
        <v>0</v>
      </c>
    </row>
    <row r="157" spans="1:8" ht="13.7" customHeight="1" x14ac:dyDescent="0.25">
      <c r="A157" s="89"/>
      <c r="B157" s="89"/>
      <c r="C157" s="85" t="s">
        <v>239</v>
      </c>
      <c r="D157" s="90"/>
      <c r="E157" s="91"/>
      <c r="F157" s="92"/>
      <c r="G157" s="91"/>
      <c r="H157" s="92"/>
    </row>
    <row r="158" spans="1:8" ht="62.1" customHeight="1" x14ac:dyDescent="0.25">
      <c r="A158" s="59"/>
      <c r="B158" s="59"/>
      <c r="C158" s="2" t="s">
        <v>21</v>
      </c>
      <c r="D158" s="10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158" s="233" t="s">
        <v>7</v>
      </c>
      <c r="F158" s="60">
        <f>'Оборудование и материалы'!$D$17</f>
        <v>18389.830508474577</v>
      </c>
      <c r="G158" s="24">
        <v>0</v>
      </c>
      <c r="H158" s="60">
        <f t="shared" ref="H158:H168" si="7">F158*G158</f>
        <v>0</v>
      </c>
    </row>
    <row r="159" spans="1:8" ht="13.7" customHeight="1" x14ac:dyDescent="0.25">
      <c r="A159" s="59"/>
      <c r="B159" s="59"/>
      <c r="C159" s="1" t="s">
        <v>22</v>
      </c>
      <c r="D159" s="1" t="str">
        <f>'Оборудование и материалы'!$A$92</f>
        <v>Провод СИП4 4х25 мм2</v>
      </c>
      <c r="E159" s="233" t="s">
        <v>8</v>
      </c>
      <c r="F159" s="60">
        <f>'Оборудование и материалы'!$D$92</f>
        <v>112.3198220338983</v>
      </c>
      <c r="G159" s="24">
        <f>G158*25</f>
        <v>0</v>
      </c>
      <c r="H159" s="60">
        <f t="shared" si="7"/>
        <v>0</v>
      </c>
    </row>
    <row r="160" spans="1:8" ht="13.7" customHeight="1" x14ac:dyDescent="0.25">
      <c r="A160" s="59"/>
      <c r="B160" s="59"/>
      <c r="C160" s="2" t="s">
        <v>69</v>
      </c>
      <c r="D160" s="10" t="str">
        <f>'Оборудование и материалы'!$A$94</f>
        <v xml:space="preserve">Кабель АВВГнг LS 4х25 мм2 </v>
      </c>
      <c r="E160" s="233" t="s">
        <v>8</v>
      </c>
      <c r="F160" s="60">
        <f>'Оборудование и материалы'!$D$94</f>
        <v>122.9491525423729</v>
      </c>
      <c r="G160" s="24">
        <f>G158*6</f>
        <v>0</v>
      </c>
      <c r="H160" s="60">
        <f t="shared" si="7"/>
        <v>0</v>
      </c>
    </row>
    <row r="161" spans="1:8" ht="13.7" customHeight="1" x14ac:dyDescent="0.25">
      <c r="A161" s="59"/>
      <c r="B161" s="59"/>
      <c r="C161" s="21" t="s">
        <v>158</v>
      </c>
      <c r="D161" s="10" t="str">
        <f>'Оборудование и материалы'!$A$109</f>
        <v>Влагозащищенный прокалывающий зажим SLIP 12.1</v>
      </c>
      <c r="E161" s="233" t="s">
        <v>7</v>
      </c>
      <c r="F161" s="60">
        <f>'Оборудование и материалы'!$D$109</f>
        <v>200.90724456279662</v>
      </c>
      <c r="G161" s="24">
        <f>G158*4</f>
        <v>0</v>
      </c>
      <c r="H161" s="60">
        <f t="shared" si="7"/>
        <v>0</v>
      </c>
    </row>
    <row r="162" spans="1:8" ht="13.7" customHeight="1" x14ac:dyDescent="0.25">
      <c r="A162" s="59"/>
      <c r="B162" s="59"/>
      <c r="C162" s="21" t="s">
        <v>158</v>
      </c>
      <c r="D162" s="10" t="str">
        <f>'Оборудование и материалы'!A110</f>
        <v>Влагозащищенный прокалывающий зажим SLIP 12.127</v>
      </c>
      <c r="E162" s="233" t="s">
        <v>7</v>
      </c>
      <c r="F162" s="60">
        <f>'Оборудование и материалы'!D110</f>
        <v>208.23728813559322</v>
      </c>
      <c r="G162" s="24">
        <f>G158*4</f>
        <v>0</v>
      </c>
      <c r="H162" s="60">
        <f t="shared" si="7"/>
        <v>0</v>
      </c>
    </row>
    <row r="163" spans="1:8" ht="13.7" customHeight="1" x14ac:dyDescent="0.25">
      <c r="A163" s="59"/>
      <c r="B163" s="59"/>
      <c r="C163" s="21" t="s">
        <v>13</v>
      </c>
      <c r="D163" s="129" t="str">
        <f>'Оборудование и материалы'!$A$111</f>
        <v>Анкерный зажим SO158.1</v>
      </c>
      <c r="E163" s="233" t="s">
        <v>7</v>
      </c>
      <c r="F163" s="60">
        <f>'Оборудование и материалы'!$D$111</f>
        <v>153.5593220338983</v>
      </c>
      <c r="G163" s="24">
        <f>G158*2</f>
        <v>0</v>
      </c>
      <c r="H163" s="60">
        <f t="shared" si="7"/>
        <v>0</v>
      </c>
    </row>
    <row r="164" spans="1:8" ht="13.7" customHeight="1" x14ac:dyDescent="0.25">
      <c r="A164" s="59"/>
      <c r="B164" s="59"/>
      <c r="C164" s="21" t="s">
        <v>115</v>
      </c>
      <c r="D164" s="129" t="str">
        <f>'Оборудование и материалы'!$A$112</f>
        <v>Анкерный кронштейн SO253</v>
      </c>
      <c r="E164" s="233" t="s">
        <v>7</v>
      </c>
      <c r="F164" s="60">
        <f>'Оборудование и материалы'!$D$112</f>
        <v>247.12711864406782</v>
      </c>
      <c r="G164" s="24">
        <f>G158*1</f>
        <v>0</v>
      </c>
      <c r="H164" s="60">
        <f t="shared" si="7"/>
        <v>0</v>
      </c>
    </row>
    <row r="165" spans="1:8" ht="13.7" customHeight="1" x14ac:dyDescent="0.25">
      <c r="A165" s="59"/>
      <c r="B165" s="59"/>
      <c r="C165" s="4" t="s">
        <v>14</v>
      </c>
      <c r="D165" s="129" t="str">
        <f>'Оборудование и материалы'!$A$113</f>
        <v>Крюк-болт  (Анкерный крюк) SOT16.12</v>
      </c>
      <c r="E165" s="233" t="s">
        <v>7</v>
      </c>
      <c r="F165" s="60">
        <f>'Оборудование и материалы'!$D$113</f>
        <v>96.788135593220332</v>
      </c>
      <c r="G165" s="24">
        <f>G158*1</f>
        <v>0</v>
      </c>
      <c r="H165" s="60">
        <f t="shared" si="7"/>
        <v>0</v>
      </c>
    </row>
    <row r="166" spans="1:8" ht="13.7" customHeight="1" x14ac:dyDescent="0.25">
      <c r="A166" s="59"/>
      <c r="B166" s="59"/>
      <c r="C166" s="4" t="s">
        <v>15</v>
      </c>
      <c r="D166" s="129" t="str">
        <f>'Оборудование и материалы'!$A$114</f>
        <v>Монтажная стальная лента из нержавеющей стали  COT37</v>
      </c>
      <c r="E166" s="233" t="s">
        <v>8</v>
      </c>
      <c r="F166" s="60">
        <f>'Оборудование и материалы'!$D$114</f>
        <v>75.271186440677965</v>
      </c>
      <c r="G166" s="24">
        <f>G158*4</f>
        <v>0</v>
      </c>
      <c r="H166" s="60">
        <f t="shared" si="7"/>
        <v>0</v>
      </c>
    </row>
    <row r="167" spans="1:8" ht="13.7" customHeight="1" x14ac:dyDescent="0.25">
      <c r="A167" s="59"/>
      <c r="B167" s="59"/>
      <c r="C167" s="2" t="s">
        <v>9</v>
      </c>
      <c r="D167" s="129" t="str">
        <f>'Оборудование и материалы'!$A$115</f>
        <v>Скрепа COT36</v>
      </c>
      <c r="E167" s="233" t="s">
        <v>7</v>
      </c>
      <c r="F167" s="60">
        <f>'Оборудование и материалы'!$D$115</f>
        <v>18.694915254237287</v>
      </c>
      <c r="G167" s="24">
        <f>G158*4</f>
        <v>0</v>
      </c>
      <c r="H167" s="60">
        <f t="shared" si="7"/>
        <v>0</v>
      </c>
    </row>
    <row r="168" spans="1:8" ht="13.7" customHeight="1" x14ac:dyDescent="0.25">
      <c r="A168" s="59"/>
      <c r="B168" s="59"/>
      <c r="C168" s="2" t="s">
        <v>16</v>
      </c>
      <c r="D168" s="8" t="str">
        <f>'Оборудование и материалы'!$A$179</f>
        <v>Крепление кронштейна и кабеля анкерный болт, гайка, шайба, стяжка</v>
      </c>
      <c r="E168" s="24" t="s">
        <v>7</v>
      </c>
      <c r="F168" s="60">
        <f>'Оборудование и материалы'!$D$179</f>
        <v>508.47457627118649</v>
      </c>
      <c r="G168" s="24">
        <f>G158*1</f>
        <v>0</v>
      </c>
      <c r="H168" s="60">
        <f t="shared" si="7"/>
        <v>0</v>
      </c>
    </row>
    <row r="169" spans="1:8" ht="13.7" customHeight="1" x14ac:dyDescent="0.25">
      <c r="A169" s="59"/>
      <c r="B169" s="59"/>
      <c r="C169" s="8"/>
      <c r="D169" s="13"/>
      <c r="E169" s="24"/>
      <c r="F169" s="60"/>
      <c r="G169" s="24"/>
      <c r="H169" s="60"/>
    </row>
    <row r="170" spans="1:8" ht="13.7" customHeight="1" x14ac:dyDescent="0.25">
      <c r="A170" s="59"/>
      <c r="B170" s="59"/>
      <c r="C170" s="8"/>
      <c r="D170" s="14" t="s">
        <v>62</v>
      </c>
      <c r="E170" s="24"/>
      <c r="F170" s="60"/>
      <c r="G170" s="24"/>
      <c r="H170" s="60">
        <f>SUM(H158:H158)</f>
        <v>0</v>
      </c>
    </row>
    <row r="171" spans="1:8" ht="13.7" customHeight="1" x14ac:dyDescent="0.25">
      <c r="A171" s="59"/>
      <c r="B171" s="59"/>
      <c r="C171" s="8"/>
      <c r="D171" s="117" t="s">
        <v>107</v>
      </c>
      <c r="E171" s="24"/>
      <c r="F171" s="60"/>
      <c r="G171" s="24"/>
      <c r="H171" s="60">
        <f>SUM(H159:H168)</f>
        <v>0</v>
      </c>
    </row>
    <row r="172" spans="1:8" ht="13.7" customHeight="1" x14ac:dyDescent="0.25">
      <c r="A172" s="59"/>
      <c r="B172" s="59"/>
      <c r="C172" s="8"/>
      <c r="D172" s="15" t="s">
        <v>131</v>
      </c>
      <c r="E172" s="24"/>
      <c r="F172" s="60"/>
      <c r="G172" s="131">
        <f>G158</f>
        <v>0</v>
      </c>
      <c r="H172" s="132">
        <f>F172*G172</f>
        <v>0</v>
      </c>
    </row>
    <row r="173" spans="1:8" ht="13.7" hidden="1" customHeight="1" x14ac:dyDescent="0.25">
      <c r="A173" s="89"/>
      <c r="B173" s="89"/>
      <c r="C173" s="180" t="s">
        <v>240</v>
      </c>
      <c r="D173" s="173" t="s">
        <v>198</v>
      </c>
      <c r="E173" s="91"/>
      <c r="F173" s="92"/>
      <c r="G173" s="91"/>
      <c r="H173" s="92"/>
    </row>
    <row r="174" spans="1:8" ht="62.1" hidden="1" customHeight="1" x14ac:dyDescent="0.25">
      <c r="A174" s="59"/>
      <c r="B174" s="59"/>
      <c r="C174" s="8" t="s">
        <v>147</v>
      </c>
      <c r="D174" s="236" t="str">
        <f>'Оборудование и материалы'!$A$61</f>
        <v>Трехфазный счетчик прямого включения активно-реактивный, (8-тарифов, класс.точности (А/Р)- 1,0/2,0, Uном 3х220(230)/380(400) Iном (макс) 5-(80)А, встроенный приемо-передатчик RF, PLC, функция ретранслятора и радиомоста, оптопорт, 2RS-485, с устройством коммутации нагрузки, (открытый протокол DLMS/COSEM), 2-дискретных входа, 2-дискретных выхода, -40...+70 °С)  или аналог.</v>
      </c>
      <c r="E174" s="24"/>
      <c r="F174" s="60">
        <f>'Оборудование и материалы'!$D$21</f>
        <v>6779.6610169491532</v>
      </c>
      <c r="G174" s="24">
        <v>0</v>
      </c>
      <c r="H174" s="60">
        <f>F174*G174</f>
        <v>0</v>
      </c>
    </row>
    <row r="175" spans="1:8" ht="13.7" hidden="1" customHeight="1" x14ac:dyDescent="0.25">
      <c r="A175" s="59"/>
      <c r="B175" s="59"/>
      <c r="C175" s="8"/>
      <c r="D175" s="15"/>
      <c r="E175" s="24"/>
      <c r="F175" s="60"/>
      <c r="G175" s="24"/>
      <c r="H175" s="60"/>
    </row>
    <row r="176" spans="1:8" ht="13.7" hidden="1" customHeight="1" x14ac:dyDescent="0.25">
      <c r="A176" s="59"/>
      <c r="B176" s="59"/>
      <c r="C176" s="8"/>
      <c r="D176" s="14" t="s">
        <v>62</v>
      </c>
      <c r="E176" s="24"/>
      <c r="F176" s="60"/>
      <c r="G176" s="24"/>
      <c r="H176" s="60">
        <f>H174</f>
        <v>0</v>
      </c>
    </row>
    <row r="177" spans="1:8" ht="13.7" hidden="1" customHeight="1" x14ac:dyDescent="0.25">
      <c r="A177" s="59"/>
      <c r="B177" s="59"/>
      <c r="C177" s="8"/>
      <c r="D177" s="15" t="s">
        <v>131</v>
      </c>
      <c r="E177" s="24"/>
      <c r="F177" s="60"/>
      <c r="G177" s="131">
        <f>G174</f>
        <v>0</v>
      </c>
      <c r="H177" s="132">
        <f>F177*G177</f>
        <v>0</v>
      </c>
    </row>
    <row r="178" spans="1:8" ht="13.7" hidden="1" customHeight="1" x14ac:dyDescent="0.25">
      <c r="A178" s="59"/>
      <c r="B178" s="59"/>
      <c r="C178" s="8"/>
      <c r="D178" s="15"/>
      <c r="E178" s="24"/>
      <c r="F178" s="60"/>
      <c r="G178" s="131"/>
      <c r="H178" s="132"/>
    </row>
    <row r="179" spans="1:8" ht="13.7" hidden="1" customHeight="1" x14ac:dyDescent="0.25">
      <c r="A179" s="59"/>
      <c r="B179" s="59"/>
      <c r="C179" s="8"/>
      <c r="D179" s="15"/>
      <c r="E179" s="24"/>
      <c r="F179" s="60"/>
      <c r="G179" s="131"/>
      <c r="H179" s="132"/>
    </row>
    <row r="180" spans="1:8" ht="13.7" customHeight="1" x14ac:dyDescent="0.25">
      <c r="A180" s="54"/>
      <c r="B180" s="54"/>
      <c r="C180" s="184" t="s">
        <v>241</v>
      </c>
      <c r="D180" s="61"/>
      <c r="E180" s="62"/>
      <c r="F180" s="63"/>
      <c r="G180" s="62"/>
      <c r="H180" s="63"/>
    </row>
    <row r="181" spans="1:8" ht="62.1" customHeight="1" x14ac:dyDescent="0.25">
      <c r="A181" s="52"/>
      <c r="B181" s="52"/>
      <c r="C181" s="19" t="s">
        <v>28</v>
      </c>
      <c r="D181" s="183" t="str">
        <f>'Оборудование и материалы'!$A$62</f>
        <v>Трехфазный счетчик полукосвенного включения активно-реактивный, (8-тарифов, класс.точности (А/Р)- 0,5S/1,0, Uном 3х220(230)/380(400) Iном (макс)  5-(7,5)А,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</v>
      </c>
      <c r="E181" s="233" t="s">
        <v>7</v>
      </c>
      <c r="F181" s="64">
        <f>'Оборудование и материалы'!$D$20</f>
        <v>5932.203389830509</v>
      </c>
      <c r="G181" s="31">
        <v>2</v>
      </c>
      <c r="H181" s="64">
        <f>F181*G181</f>
        <v>11864.406779661018</v>
      </c>
    </row>
    <row r="182" spans="1:8" ht="13.7" customHeight="1" x14ac:dyDescent="0.25">
      <c r="A182" s="52"/>
      <c r="B182" s="52"/>
      <c r="C182" s="19" t="s">
        <v>25</v>
      </c>
      <c r="D182" s="1" t="str">
        <f>'Оборудование и материалы'!$A$143</f>
        <v>Испытательная коробка (КИ10, ИКК)</v>
      </c>
      <c r="E182" s="233" t="s">
        <v>7</v>
      </c>
      <c r="F182" s="64">
        <f>'Оборудование и материалы'!$D$143</f>
        <v>498.9830508474576</v>
      </c>
      <c r="G182" s="31">
        <f>G181</f>
        <v>2</v>
      </c>
      <c r="H182" s="64">
        <f>F182*G182</f>
        <v>997.96610169491521</v>
      </c>
    </row>
    <row r="183" spans="1:8" ht="13.7" customHeight="1" x14ac:dyDescent="0.25">
      <c r="A183" s="52"/>
      <c r="B183" s="52"/>
      <c r="C183" s="19"/>
      <c r="D183" s="14"/>
      <c r="E183" s="233"/>
      <c r="F183" s="53"/>
      <c r="G183" s="233"/>
      <c r="H183" s="64"/>
    </row>
    <row r="184" spans="1:8" ht="13.7" customHeight="1" x14ac:dyDescent="0.25">
      <c r="A184" s="52"/>
      <c r="B184" s="52"/>
      <c r="C184" s="19"/>
      <c r="D184" s="14" t="s">
        <v>62</v>
      </c>
      <c r="E184" s="233"/>
      <c r="F184" s="53"/>
      <c r="G184" s="233"/>
      <c r="H184" s="64">
        <f>H181</f>
        <v>11864.406779661018</v>
      </c>
    </row>
    <row r="185" spans="1:8" ht="13.7" customHeight="1" x14ac:dyDescent="0.25">
      <c r="A185" s="52"/>
      <c r="B185" s="52"/>
      <c r="C185" s="19"/>
      <c r="D185" s="117" t="s">
        <v>107</v>
      </c>
      <c r="E185" s="233"/>
      <c r="F185" s="53"/>
      <c r="G185" s="233"/>
      <c r="H185" s="53">
        <f>H182</f>
        <v>997.96610169491521</v>
      </c>
    </row>
    <row r="186" spans="1:8" ht="13.7" customHeight="1" x14ac:dyDescent="0.25">
      <c r="A186" s="52"/>
      <c r="B186" s="52"/>
      <c r="C186" s="19"/>
      <c r="D186" s="15" t="s">
        <v>131</v>
      </c>
      <c r="E186" s="233"/>
      <c r="F186" s="64"/>
      <c r="G186" s="134">
        <f>G181</f>
        <v>2</v>
      </c>
      <c r="H186" s="87">
        <f>F186*G186</f>
        <v>0</v>
      </c>
    </row>
    <row r="187" spans="1:8" ht="13.7" customHeight="1" x14ac:dyDescent="0.25">
      <c r="A187" s="65"/>
      <c r="B187" s="65"/>
      <c r="C187" s="69" t="s">
        <v>29</v>
      </c>
      <c r="D187" s="66"/>
      <c r="E187" s="67"/>
      <c r="F187" s="68"/>
      <c r="G187" s="67"/>
      <c r="H187" s="68"/>
    </row>
    <row r="188" spans="1:8" ht="13.7" customHeight="1" x14ac:dyDescent="0.25">
      <c r="A188" s="54"/>
      <c r="B188" s="54"/>
      <c r="C188" s="70" t="s">
        <v>30</v>
      </c>
      <c r="D188" s="17"/>
      <c r="E188" s="62"/>
      <c r="F188" s="63"/>
      <c r="G188" s="62"/>
      <c r="H188" s="63"/>
    </row>
    <row r="189" spans="1:8" ht="62.1" hidden="1" customHeight="1" x14ac:dyDescent="0.25">
      <c r="A189" s="58"/>
      <c r="B189" s="58"/>
      <c r="C189" s="2" t="s">
        <v>147</v>
      </c>
      <c r="D189" s="6" t="str">
        <f>'Оборудование и материалы'!$A$63</f>
        <v xml:space="preserve"> Трехфазный счетчик прямого включения активно-реактивный, (8-тарифов, класс.точности (А/Р)- 1,0/2,0, Uном 3х220(230)/380(400) Iном (макс)  5-(100)А 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 </v>
      </c>
      <c r="E189" s="233" t="s">
        <v>7</v>
      </c>
      <c r="F189" s="64">
        <f>'Оборудование и материалы'!$D$19</f>
        <v>4661.016949152543</v>
      </c>
      <c r="G189" s="31">
        <v>0</v>
      </c>
      <c r="H189" s="53">
        <f t="shared" ref="H189:H229" si="8">F189*G189</f>
        <v>0</v>
      </c>
    </row>
    <row r="190" spans="1:8" ht="62.1" customHeight="1" x14ac:dyDescent="0.25">
      <c r="A190" s="52"/>
      <c r="B190" s="52"/>
      <c r="C190" s="7" t="s">
        <v>24</v>
      </c>
      <c r="D190" s="183" t="str">
        <f>'Оборудование и материалы'!$A$62</f>
        <v>Трехфазный счетчик полукосвенного включения активно-реактивный, (8-тарифов, класс.точности (А/Р)- 0,5S/1,0, Uном 3х220(230)/380(400) Iном (макс)  5-(7,5)А,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</v>
      </c>
      <c r="E190" s="233" t="s">
        <v>7</v>
      </c>
      <c r="F190" s="53">
        <f>'Оборудование и материалы'!$D$18</f>
        <v>5211.8644067796613</v>
      </c>
      <c r="G190" s="31">
        <v>8</v>
      </c>
      <c r="H190" s="53">
        <f t="shared" si="8"/>
        <v>41694.91525423729</v>
      </c>
    </row>
    <row r="191" spans="1:8" ht="13.7" customHeight="1" x14ac:dyDescent="0.25">
      <c r="A191" s="52"/>
      <c r="B191" s="52"/>
      <c r="C191" s="7" t="s">
        <v>119</v>
      </c>
      <c r="D191" s="9" t="str">
        <f>'Оборудование и материалы'!$A$78</f>
        <v xml:space="preserve">УСПД (GSM/GPRS), (в комплекте с защитным устройством: трехфазный автоматический выключатель ВА 47-63 3п 6А С -1 шт., ОИН-3 шт. на Din-рейку) </v>
      </c>
      <c r="E191" s="233" t="s">
        <v>7</v>
      </c>
      <c r="F191" s="53">
        <f>'Оборудование и материалы'!$D$88</f>
        <v>67840</v>
      </c>
      <c r="G191" s="233">
        <v>8</v>
      </c>
      <c r="H191" s="53">
        <f t="shared" si="8"/>
        <v>542720</v>
      </c>
    </row>
    <row r="192" spans="1:8" ht="30" customHeight="1" x14ac:dyDescent="0.25">
      <c r="A192" s="52"/>
      <c r="B192" s="52"/>
      <c r="C192" s="7" t="s">
        <v>170</v>
      </c>
      <c r="D192" s="9" t="str">
        <f>'Оборудование и материалы'!$A$145</f>
        <v>Антенна GSM ANT-996 A  (антенна с врезным креплением на металлическом рефлекторе-кронштейне 330-330 мм. провод RG-58A/U 5м)
GSM   900/1800 МГц вандалозащищенная антенна для помещений с низким уровнем сигнала.</v>
      </c>
      <c r="E192" s="233" t="s">
        <v>7</v>
      </c>
      <c r="F192" s="53">
        <f>'Оборудование и материалы'!D145</f>
        <v>1432.2033898305085</v>
      </c>
      <c r="G192" s="233">
        <f>G191*1</f>
        <v>8</v>
      </c>
      <c r="H192" s="53">
        <f t="shared" si="8"/>
        <v>11457.627118644068</v>
      </c>
    </row>
    <row r="193" spans="1:8" ht="30" x14ac:dyDescent="0.25">
      <c r="A193" s="52"/>
      <c r="B193" s="52"/>
      <c r="C193" s="7" t="s">
        <v>58</v>
      </c>
      <c r="D193" s="9" t="str">
        <f>'Оборудование и материалы'!$A$158</f>
        <v xml:space="preserve">ВА47-29-1В 6,3А </v>
      </c>
      <c r="E193" s="233" t="s">
        <v>7</v>
      </c>
      <c r="F193" s="53">
        <f>'Оборудование и материалы'!D158</f>
        <v>65.381355932203391</v>
      </c>
      <c r="G193" s="233">
        <f>G194*2</f>
        <v>16</v>
      </c>
      <c r="H193" s="53">
        <f t="shared" si="8"/>
        <v>1046.1016949152543</v>
      </c>
    </row>
    <row r="194" spans="1:8" ht="13.7" customHeight="1" x14ac:dyDescent="0.25">
      <c r="A194" s="52"/>
      <c r="B194" s="52"/>
      <c r="C194" s="7" t="s">
        <v>33</v>
      </c>
      <c r="D194" s="9" t="str">
        <f>'Оборудование и материалы'!$A$166</f>
        <v xml:space="preserve">Шкаф ТП  1,2 мм  (Согласно опросного листа) </v>
      </c>
      <c r="E194" s="233" t="s">
        <v>7</v>
      </c>
      <c r="F194" s="53">
        <f>'Оборудование и материалы'!D166</f>
        <v>19918.000000000004</v>
      </c>
      <c r="G194" s="233">
        <f>G191</f>
        <v>8</v>
      </c>
      <c r="H194" s="53">
        <f t="shared" si="8"/>
        <v>159344.00000000003</v>
      </c>
    </row>
    <row r="195" spans="1:8" ht="13.7" customHeight="1" x14ac:dyDescent="0.25">
      <c r="A195" s="52"/>
      <c r="B195" s="52"/>
      <c r="C195" s="7" t="s">
        <v>47</v>
      </c>
      <c r="D195" s="9" t="str">
        <f>'Оборудование и материалы'!$A$140</f>
        <v>Обогреватель Click 100 Вт IP20, крепление на DIN-рейку EKF PROxima + Термостат 10 А NC EKF PROxima</v>
      </c>
      <c r="E195" s="233" t="s">
        <v>7</v>
      </c>
      <c r="F195" s="64">
        <f>'Оборудование и материалы'!$D$140</f>
        <v>4385.4491525423728</v>
      </c>
      <c r="G195" s="233">
        <f>G194*1</f>
        <v>8</v>
      </c>
      <c r="H195" s="53">
        <f t="shared" si="8"/>
        <v>35083.593220338982</v>
      </c>
    </row>
    <row r="196" spans="1:8" ht="13.7" customHeight="1" x14ac:dyDescent="0.25">
      <c r="A196" s="52"/>
      <c r="B196" s="52"/>
      <c r="C196" s="7" t="s">
        <v>34</v>
      </c>
      <c r="D196" s="9" t="str">
        <f>'Оборудование и материалы'!$A$118</f>
        <v>Трансформаторы тока 100/5, кл. 0,5S  У3 (Т-0,66-1-0,5S-5ВА-100/5 У3)</v>
      </c>
      <c r="E196" s="233" t="s">
        <v>7</v>
      </c>
      <c r="F196" s="64">
        <f>'Оборудование и материалы'!$D$118</f>
        <v>451.98305084745766</v>
      </c>
      <c r="G196" s="233">
        <v>0</v>
      </c>
      <c r="H196" s="53">
        <f t="shared" si="8"/>
        <v>0</v>
      </c>
    </row>
    <row r="197" spans="1:8" ht="13.7" customHeight="1" x14ac:dyDescent="0.25">
      <c r="A197" s="52"/>
      <c r="B197" s="52"/>
      <c r="C197" s="7" t="s">
        <v>35</v>
      </c>
      <c r="D197" s="9" t="str">
        <f>'Оборудование и материалы'!$A$119</f>
        <v>Трансформаторы тока 150/5, кл. 0,5S  У3 (Т-0,66-1-0,5S-5ВА-150/5 У3)</v>
      </c>
      <c r="E197" s="233" t="s">
        <v>7</v>
      </c>
      <c r="F197" s="64">
        <f>'Оборудование и материалы'!$D$119</f>
        <v>535.98305084745766</v>
      </c>
      <c r="G197" s="233">
        <v>0</v>
      </c>
      <c r="H197" s="53">
        <f t="shared" si="8"/>
        <v>0</v>
      </c>
    </row>
    <row r="198" spans="1:8" ht="13.7" customHeight="1" x14ac:dyDescent="0.25">
      <c r="A198" s="52"/>
      <c r="B198" s="52"/>
      <c r="C198" s="7" t="s">
        <v>36</v>
      </c>
      <c r="D198" s="9" t="str">
        <f>'Оборудование и материалы'!$A$120</f>
        <v>Трансформаторы тока 200/5, кл. 0,5S  У3 (Т-0,66-1-0,5S-5ВА-200/5 У3)</v>
      </c>
      <c r="E198" s="233" t="s">
        <v>7</v>
      </c>
      <c r="F198" s="64">
        <f>'Оборудование и материалы'!$D$120</f>
        <v>535.98305084745766</v>
      </c>
      <c r="G198" s="233">
        <v>24</v>
      </c>
      <c r="H198" s="53">
        <f t="shared" si="8"/>
        <v>12863.593220338984</v>
      </c>
    </row>
    <row r="199" spans="1:8" ht="13.7" customHeight="1" x14ac:dyDescent="0.25">
      <c r="A199" s="52"/>
      <c r="B199" s="52"/>
      <c r="C199" s="7" t="s">
        <v>37</v>
      </c>
      <c r="D199" s="9" t="str">
        <f>'Оборудование и материалы'!$A$121</f>
        <v>Трансформаторы тока 300/5, кл. 0,5S  У3 (Т-0,66-2-0,5S-5ВА-300/5 У3)</v>
      </c>
      <c r="E199" s="233" t="s">
        <v>7</v>
      </c>
      <c r="F199" s="64">
        <f>'Оборудование и материалы'!$D$121</f>
        <v>535.98305084745766</v>
      </c>
      <c r="G199" s="233">
        <v>0</v>
      </c>
      <c r="H199" s="53">
        <f t="shared" si="8"/>
        <v>0</v>
      </c>
    </row>
    <row r="200" spans="1:8" ht="13.7" customHeight="1" x14ac:dyDescent="0.25">
      <c r="A200" s="52"/>
      <c r="B200" s="52"/>
      <c r="C200" s="7" t="s">
        <v>38</v>
      </c>
      <c r="D200" s="9" t="str">
        <f>'Оборудование и материалы'!$A$122</f>
        <v>Трансформаторы тока 400/5, кл. 0,5S  У3 (Т-0,66-2-0,5S-5ВА-400/5 У3)</v>
      </c>
      <c r="E200" s="233" t="s">
        <v>7</v>
      </c>
      <c r="F200" s="64">
        <f>'Оборудование и материалы'!$D$122</f>
        <v>535.98305084745766</v>
      </c>
      <c r="G200" s="233">
        <v>0</v>
      </c>
      <c r="H200" s="53">
        <f t="shared" si="8"/>
        <v>0</v>
      </c>
    </row>
    <row r="201" spans="1:8" ht="13.7" customHeight="1" x14ac:dyDescent="0.25">
      <c r="A201" s="52"/>
      <c r="B201" s="52"/>
      <c r="C201" s="7" t="s">
        <v>39</v>
      </c>
      <c r="D201" s="9" t="str">
        <f>'Оборудование и материалы'!$A$123</f>
        <v>Трансформаторы тока 600/5, кл. 0,5S  У3 (Т-0,66-3-0,5S-5ВА-600/5 У3)</v>
      </c>
      <c r="E201" s="233" t="s">
        <v>7</v>
      </c>
      <c r="F201" s="64">
        <f>'Оборудование и материалы'!$D$123</f>
        <v>535.98305084745766</v>
      </c>
      <c r="G201" s="233">
        <v>0</v>
      </c>
      <c r="H201" s="53">
        <f t="shared" si="8"/>
        <v>0</v>
      </c>
    </row>
    <row r="202" spans="1:8" ht="13.7" customHeight="1" x14ac:dyDescent="0.25">
      <c r="A202" s="52"/>
      <c r="B202" s="52"/>
      <c r="C202" s="7" t="s">
        <v>40</v>
      </c>
      <c r="D202" s="9" t="str">
        <f>'Оборудование и материалы'!$A$124</f>
        <v>Трансформаторы тока 800/5, кл. 0,5S  У3 (ТШП-0,66 800/5 0,5 S)</v>
      </c>
      <c r="E202" s="233" t="s">
        <v>7</v>
      </c>
      <c r="F202" s="64">
        <f>'Оборудование и материалы'!$D$124</f>
        <v>1815.6355932203389</v>
      </c>
      <c r="G202" s="233">
        <v>0</v>
      </c>
      <c r="H202" s="53">
        <f t="shared" si="8"/>
        <v>0</v>
      </c>
    </row>
    <row r="203" spans="1:8" ht="13.7" customHeight="1" x14ac:dyDescent="0.25">
      <c r="A203" s="52"/>
      <c r="B203" s="52"/>
      <c r="C203" s="7" t="s">
        <v>137</v>
      </c>
      <c r="D203" s="9" t="str">
        <f>'Оборудование и материалы'!$A$125</f>
        <v>Трансформаторы тока 1000/5, кл. 0,5S  У3 (ТШП-0,66-10-0,5S-1000/5 У3)</v>
      </c>
      <c r="E203" s="233" t="s">
        <v>7</v>
      </c>
      <c r="F203" s="64">
        <f>'Оборудование и материалы'!$D$125</f>
        <v>1725</v>
      </c>
      <c r="G203" s="233">
        <v>0</v>
      </c>
      <c r="H203" s="53">
        <f t="shared" si="8"/>
        <v>0</v>
      </c>
    </row>
    <row r="204" spans="1:8" ht="13.7" customHeight="1" x14ac:dyDescent="0.25">
      <c r="A204" s="52"/>
      <c r="B204" s="52"/>
      <c r="C204" s="7" t="s">
        <v>138</v>
      </c>
      <c r="D204" s="9" t="str">
        <f>'Оборудование и материалы'!$A$126</f>
        <v>Трансформаторы тока 1200/5, кл. 0,5S  У3 (Т-0,66-М У3  1200/5  0,5S)</v>
      </c>
      <c r="E204" s="233" t="s">
        <v>7</v>
      </c>
      <c r="F204" s="64">
        <f>'Оборудование и материалы'!$D$126</f>
        <v>575.66101694915255</v>
      </c>
      <c r="G204" s="233">
        <v>0</v>
      </c>
      <c r="H204" s="53">
        <f t="shared" si="8"/>
        <v>0</v>
      </c>
    </row>
    <row r="205" spans="1:8" ht="13.7" customHeight="1" x14ac:dyDescent="0.25">
      <c r="A205" s="52"/>
      <c r="B205" s="52"/>
      <c r="C205" s="7" t="s">
        <v>41</v>
      </c>
      <c r="D205" s="9" t="str">
        <f>'Оборудование и материалы'!$A$127</f>
        <v>Трансформаторы тока 1500/5, кл. 0,5S  У3 (ТШП-0,66-10-0,5S-1500/5 У3)</v>
      </c>
      <c r="E205" s="233" t="s">
        <v>7</v>
      </c>
      <c r="F205" s="64">
        <f>'Оборудование и материалы'!$D$127</f>
        <v>1556.8474576271187</v>
      </c>
      <c r="G205" s="233">
        <v>0</v>
      </c>
      <c r="H205" s="53">
        <f t="shared" si="8"/>
        <v>0</v>
      </c>
    </row>
    <row r="206" spans="1:8" ht="13.7" customHeight="1" x14ac:dyDescent="0.25">
      <c r="A206" s="52"/>
      <c r="B206" s="52"/>
      <c r="C206" s="7" t="s">
        <v>148</v>
      </c>
      <c r="D206" s="9" t="str">
        <f>'Оборудование и материалы'!$A$128</f>
        <v>Трансформаторы тока 2000/5, кл. 0,5S  У3 (Т-0,66 М 2000/5 0,5S)</v>
      </c>
      <c r="E206" s="233" t="s">
        <v>7</v>
      </c>
      <c r="F206" s="64">
        <f>'Оборудование и материалы'!$D$128</f>
        <v>765.60169491525426</v>
      </c>
      <c r="G206" s="233">
        <v>0</v>
      </c>
      <c r="H206" s="53">
        <f t="shared" si="8"/>
        <v>0</v>
      </c>
    </row>
    <row r="207" spans="1:8" ht="13.7" customHeight="1" x14ac:dyDescent="0.25">
      <c r="A207" s="52"/>
      <c r="B207" s="52"/>
      <c r="C207" s="7" t="s">
        <v>113</v>
      </c>
      <c r="D207" s="9" t="str">
        <f>'Оборудование и материалы'!$A$103</f>
        <v>ВВГнг (АВВГнг) сечением от 25 мм2 до 150 мм2</v>
      </c>
      <c r="E207" s="233" t="s">
        <v>8</v>
      </c>
      <c r="F207" s="64">
        <f>'Оборудование и материалы'!D103</f>
        <v>525.42372881355936</v>
      </c>
      <c r="G207" s="233">
        <f>SUM(G196:G199)*3</f>
        <v>72</v>
      </c>
      <c r="H207" s="53">
        <f t="shared" si="8"/>
        <v>37830.508474576272</v>
      </c>
    </row>
    <row r="208" spans="1:8" ht="13.7" customHeight="1" x14ac:dyDescent="0.25">
      <c r="A208" s="52"/>
      <c r="B208" s="52"/>
      <c r="C208" s="7" t="s">
        <v>113</v>
      </c>
      <c r="D208" s="9" t="str">
        <f>'Оборудование и материалы'!$A$94</f>
        <v xml:space="preserve">Кабель АВВГнг LS 4х25 мм2 </v>
      </c>
      <c r="E208" s="233" t="s">
        <v>8</v>
      </c>
      <c r="F208" s="64">
        <f>'Оборудование и материалы'!$D$94</f>
        <v>122.9491525423729</v>
      </c>
      <c r="G208" s="233">
        <f>G189*8</f>
        <v>0</v>
      </c>
      <c r="H208" s="53">
        <f t="shared" si="8"/>
        <v>0</v>
      </c>
    </row>
    <row r="209" spans="1:8" ht="13.7" customHeight="1" x14ac:dyDescent="0.25">
      <c r="A209" s="52"/>
      <c r="B209" s="52"/>
      <c r="C209" s="7" t="s">
        <v>171</v>
      </c>
      <c r="D209" s="9" t="str">
        <f>'Оборудование и материалы'!$A$98</f>
        <v>Кабель ВВГнг-LS 3*2,5</v>
      </c>
      <c r="E209" s="31" t="s">
        <v>8</v>
      </c>
      <c r="F209" s="64">
        <f>'Оборудование и материалы'!D98</f>
        <v>62.474576271186443</v>
      </c>
      <c r="G209" s="31">
        <f>SUM(G196:G206)*8</f>
        <v>192</v>
      </c>
      <c r="H209" s="64">
        <f t="shared" si="8"/>
        <v>11995.118644067798</v>
      </c>
    </row>
    <row r="210" spans="1:8" ht="13.7" customHeight="1" x14ac:dyDescent="0.25">
      <c r="A210" s="52"/>
      <c r="B210" s="52"/>
      <c r="C210" s="7" t="s">
        <v>68</v>
      </c>
      <c r="D210" s="9" t="str">
        <f>'Оборудование и материалы'!$A$96</f>
        <v xml:space="preserve">Кабель контрольный ВВГнг-LS 4*2,5 </v>
      </c>
      <c r="E210" s="31" t="s">
        <v>8</v>
      </c>
      <c r="F210" s="64">
        <f>'Оборудование и материалы'!$D$96</f>
        <v>101.474</v>
      </c>
      <c r="G210" s="24">
        <f>(G191+G190)*8</f>
        <v>128</v>
      </c>
      <c r="H210" s="64">
        <f t="shared" si="8"/>
        <v>12988.672</v>
      </c>
    </row>
    <row r="211" spans="1:8" s="241" customFormat="1" ht="13.7" customHeight="1" x14ac:dyDescent="0.25">
      <c r="A211" s="58"/>
      <c r="B211" s="58"/>
      <c r="C211" s="7" t="s">
        <v>68</v>
      </c>
      <c r="D211" s="9" t="str">
        <f>'Оборудование и материалы'!$A$97</f>
        <v xml:space="preserve">Кабель контрольный КВВГнг-LS 7*2,5 </v>
      </c>
      <c r="E211" s="31" t="s">
        <v>8</v>
      </c>
      <c r="F211" s="64">
        <f>'Оборудование и материалы'!$D$97</f>
        <v>157.28813559322035</v>
      </c>
      <c r="G211" s="31">
        <v>0</v>
      </c>
      <c r="H211" s="64">
        <f t="shared" si="8"/>
        <v>0</v>
      </c>
    </row>
    <row r="212" spans="1:8" ht="13.7" customHeight="1" x14ac:dyDescent="0.25">
      <c r="A212" s="52"/>
      <c r="B212" s="52"/>
      <c r="C212" s="7" t="s">
        <v>53</v>
      </c>
      <c r="D212" s="9" t="str">
        <f>'Оборудование и материалы'!$A$100</f>
        <v xml:space="preserve">Кабель ПВ-1 1*2,5 </v>
      </c>
      <c r="E212" s="233" t="s">
        <v>8</v>
      </c>
      <c r="F212" s="64">
        <f>'Оборудование и материалы'!$D$100</f>
        <v>15.254237288135593</v>
      </c>
      <c r="G212" s="233">
        <f>G190*6</f>
        <v>48</v>
      </c>
      <c r="H212" s="53">
        <f t="shared" si="8"/>
        <v>732.20338983050851</v>
      </c>
    </row>
    <row r="213" spans="1:8" ht="13.7" customHeight="1" x14ac:dyDescent="0.25">
      <c r="A213" s="52"/>
      <c r="B213" s="52"/>
      <c r="C213" s="7" t="s">
        <v>144</v>
      </c>
      <c r="D213" s="9" t="str">
        <f>'Оборудование и материалы'!$A$101</f>
        <v>Кабель ПВ-3 1*10</v>
      </c>
      <c r="E213" s="233" t="s">
        <v>8</v>
      </c>
      <c r="F213" s="64">
        <f>'Оборудование и материалы'!$D$101</f>
        <v>44.915254237288138</v>
      </c>
      <c r="G213" s="233">
        <f>G194*10</f>
        <v>80</v>
      </c>
      <c r="H213" s="53">
        <f t="shared" si="8"/>
        <v>3593.2203389830511</v>
      </c>
    </row>
    <row r="214" spans="1:8" ht="13.7" customHeight="1" x14ac:dyDescent="0.25">
      <c r="A214" s="52"/>
      <c r="B214" s="52"/>
      <c r="C214" s="7" t="s">
        <v>306</v>
      </c>
      <c r="D214" s="9" t="str">
        <f>'Оборудование и материалы'!A102</f>
        <v xml:space="preserve">Кабель интерфейсный ТехноКИПнг (D) 2*2*0,6 </v>
      </c>
      <c r="E214" s="233" t="s">
        <v>8</v>
      </c>
      <c r="F214" s="64">
        <f>'Оборудование и материалы'!D102</f>
        <v>82.652542372881356</v>
      </c>
      <c r="G214" s="233">
        <v>8</v>
      </c>
      <c r="H214" s="53">
        <f t="shared" si="8"/>
        <v>661.22033898305085</v>
      </c>
    </row>
    <row r="215" spans="1:8" ht="13.7" customHeight="1" x14ac:dyDescent="0.25">
      <c r="A215" s="52"/>
      <c r="B215" s="52"/>
      <c r="C215" s="7" t="s">
        <v>116</v>
      </c>
      <c r="D215" s="9" t="str">
        <f>'Оборудование и материалы'!$A$143</f>
        <v>Испытательная коробка (КИ10, ИКК)</v>
      </c>
      <c r="E215" s="233" t="s">
        <v>7</v>
      </c>
      <c r="F215" s="64">
        <f>'Оборудование и материалы'!$D$143</f>
        <v>498.9830508474576</v>
      </c>
      <c r="G215" s="233">
        <f>G190</f>
        <v>8</v>
      </c>
      <c r="H215" s="53">
        <f t="shared" si="8"/>
        <v>3991.8644067796608</v>
      </c>
    </row>
    <row r="216" spans="1:8" ht="13.7" customHeight="1" x14ac:dyDescent="0.25">
      <c r="A216" s="52"/>
      <c r="B216" s="52"/>
      <c r="C216" s="7" t="s">
        <v>455</v>
      </c>
      <c r="D216" s="9" t="str">
        <f>'Оборудование и материалы'!A165</f>
        <v xml:space="preserve">Разветвляющая  коробка  интерфейса RS-485 </v>
      </c>
      <c r="E216" s="233" t="s">
        <v>7</v>
      </c>
      <c r="F216" s="64">
        <f>'Оборудование и материалы'!D165</f>
        <v>716.10169491525426</v>
      </c>
      <c r="G216" s="233">
        <v>34</v>
      </c>
      <c r="H216" s="53">
        <f t="shared" si="8"/>
        <v>24347.457627118645</v>
      </c>
    </row>
    <row r="217" spans="1:8" ht="13.7" customHeight="1" x14ac:dyDescent="0.25">
      <c r="A217" s="52"/>
      <c r="B217" s="52"/>
      <c r="C217" s="7" t="s">
        <v>42</v>
      </c>
      <c r="D217" s="9" t="str">
        <f>'Оборудование и материалы'!$A$161</f>
        <v>Розетка РАр10-3-ОПс заземлением на DIN-рейку ИЭК</v>
      </c>
      <c r="E217" s="233" t="s">
        <v>7</v>
      </c>
      <c r="F217" s="64">
        <f>'Оборудование и материалы'!D161</f>
        <v>64.381355932203391</v>
      </c>
      <c r="G217" s="233">
        <f>G194*2</f>
        <v>16</v>
      </c>
      <c r="H217" s="53">
        <f t="shared" si="8"/>
        <v>1030.1016949152543</v>
      </c>
    </row>
    <row r="218" spans="1:8" ht="13.7" customHeight="1" x14ac:dyDescent="0.25">
      <c r="A218" s="52"/>
      <c r="B218" s="52"/>
      <c r="C218" s="7" t="s">
        <v>43</v>
      </c>
      <c r="D218" s="9" t="str">
        <f>'Оборудование и материалы'!$A$176</f>
        <v>DIN-рейка оцинкованная</v>
      </c>
      <c r="E218" s="233" t="s">
        <v>7</v>
      </c>
      <c r="F218" s="64">
        <f>'Оборудование и материалы'!D176</f>
        <v>38.5</v>
      </c>
      <c r="G218" s="233">
        <f>G194</f>
        <v>8</v>
      </c>
      <c r="H218" s="53">
        <f t="shared" si="8"/>
        <v>308</v>
      </c>
    </row>
    <row r="219" spans="1:8" ht="13.7" customHeight="1" x14ac:dyDescent="0.25">
      <c r="A219" s="52"/>
      <c r="B219" s="52"/>
      <c r="C219" s="7" t="s">
        <v>173</v>
      </c>
      <c r="D219" s="9" t="str">
        <f>'Оборудование и материалы'!$A$171</f>
        <v>Металлорукав ПХВ  РЗ-ЦП нг 32  (диаметр 32мм )</v>
      </c>
      <c r="E219" s="233" t="s">
        <v>8</v>
      </c>
      <c r="F219" s="64">
        <f>'Оборудование и материалы'!D171</f>
        <v>72.644067796610173</v>
      </c>
      <c r="G219" s="233">
        <f>G194*16</f>
        <v>128</v>
      </c>
      <c r="H219" s="53">
        <f t="shared" si="8"/>
        <v>9298.4406779661022</v>
      </c>
    </row>
    <row r="220" spans="1:8" ht="13.7" customHeight="1" x14ac:dyDescent="0.25">
      <c r="A220" s="52"/>
      <c r="B220" s="52"/>
      <c r="C220" s="7" t="s">
        <v>44</v>
      </c>
      <c r="D220" s="9" t="str">
        <f>'Оборудование и материалы'!$A$169</f>
        <v>Замок навесной</v>
      </c>
      <c r="E220" s="233" t="s">
        <v>7</v>
      </c>
      <c r="F220" s="64">
        <f>'Оборудование и материалы'!D169</f>
        <v>334.74576271186442</v>
      </c>
      <c r="G220" s="233">
        <f>G194</f>
        <v>8</v>
      </c>
      <c r="H220" s="53">
        <f t="shared" si="8"/>
        <v>2677.9661016949153</v>
      </c>
    </row>
    <row r="221" spans="1:8" ht="13.7" customHeight="1" x14ac:dyDescent="0.25">
      <c r="A221" s="52"/>
      <c r="B221" s="52"/>
      <c r="C221" s="7" t="s">
        <v>45</v>
      </c>
      <c r="D221" s="9" t="str">
        <f>'Оборудование и материалы'!$A$177</f>
        <v xml:space="preserve">уголок 40х40, болты, гайка, шайба (анкерный болт, гайка, шайба) </v>
      </c>
      <c r="E221" s="233" t="s">
        <v>7</v>
      </c>
      <c r="F221" s="64">
        <f>'Оборудование и материалы'!D177</f>
        <v>1016.949152542373</v>
      </c>
      <c r="G221" s="233">
        <f>G194</f>
        <v>8</v>
      </c>
      <c r="H221" s="53">
        <f t="shared" si="8"/>
        <v>8135.5932203389839</v>
      </c>
    </row>
    <row r="222" spans="1:8" ht="13.7" customHeight="1" x14ac:dyDescent="0.25">
      <c r="A222" s="52"/>
      <c r="B222" s="52"/>
      <c r="C222" s="7" t="s">
        <v>46</v>
      </c>
      <c r="D222" s="9" t="str">
        <f>'Оборудование и материалы'!$A$178</f>
        <v>уголок 40х40, болты, гайка, шайба</v>
      </c>
      <c r="E222" s="233" t="s">
        <v>7</v>
      </c>
      <c r="F222" s="64">
        <f>'Оборудование и материалы'!D178</f>
        <v>1016.949152542373</v>
      </c>
      <c r="G222" s="233">
        <f>SUM(G196:G206)</f>
        <v>24</v>
      </c>
      <c r="H222" s="53">
        <f t="shared" si="8"/>
        <v>24406.779661016953</v>
      </c>
    </row>
    <row r="223" spans="1:8" ht="13.7" customHeight="1" x14ac:dyDescent="0.25">
      <c r="A223" s="52"/>
      <c r="B223" s="52"/>
      <c r="C223" s="7" t="s">
        <v>130</v>
      </c>
      <c r="D223" s="9" t="str">
        <f>'Оборудование и материалы'!$A$188</f>
        <v>Наконечники под силовой кабель ВВГнг (АВВГнг) сечением от 25 мм2 до 150 мм2</v>
      </c>
      <c r="E223" s="233" t="s">
        <v>7</v>
      </c>
      <c r="F223" s="64">
        <f>'Оборудование и материалы'!$D$188</f>
        <v>38.5</v>
      </c>
      <c r="G223" s="233">
        <f>SUM(G196:G199)*4</f>
        <v>96</v>
      </c>
      <c r="H223" s="53">
        <f t="shared" si="8"/>
        <v>3696</v>
      </c>
    </row>
    <row r="224" spans="1:8" ht="13.7" customHeight="1" x14ac:dyDescent="0.25">
      <c r="A224" s="52"/>
      <c r="B224" s="52"/>
      <c r="C224" s="7" t="s">
        <v>72</v>
      </c>
      <c r="D224" s="9" t="str">
        <f>'Оборудование и материалы'!$A$189</f>
        <v>НШвИ-2,5 (60 шт.)</v>
      </c>
      <c r="E224" s="233" t="s">
        <v>74</v>
      </c>
      <c r="F224" s="64">
        <f>'Оборудование и материалы'!$D$189</f>
        <v>35.200000000000003</v>
      </c>
      <c r="G224" s="233">
        <f>G194</f>
        <v>8</v>
      </c>
      <c r="H224" s="53">
        <f t="shared" si="8"/>
        <v>281.60000000000002</v>
      </c>
    </row>
    <row r="225" spans="1:8" ht="13.7" customHeight="1" x14ac:dyDescent="0.25">
      <c r="A225" s="52"/>
      <c r="B225" s="52"/>
      <c r="C225" s="7" t="s">
        <v>129</v>
      </c>
      <c r="D225" s="10" t="str">
        <f>'Оборудование и материалы'!$A$190</f>
        <v>ТМ/ТМЛ 10-8-5</v>
      </c>
      <c r="E225" s="233" t="s">
        <v>7</v>
      </c>
      <c r="F225" s="64">
        <f>'Оборудование и материалы'!$D$190</f>
        <v>17.27</v>
      </c>
      <c r="G225" s="233">
        <f>G194*2</f>
        <v>16</v>
      </c>
      <c r="H225" s="53">
        <f t="shared" si="8"/>
        <v>276.32</v>
      </c>
    </row>
    <row r="226" spans="1:8" ht="13.7" customHeight="1" x14ac:dyDescent="0.25">
      <c r="A226" s="52"/>
      <c r="B226" s="52"/>
      <c r="C226" s="197" t="s">
        <v>129</v>
      </c>
      <c r="D226" s="8" t="str">
        <f>'Оборудование и материалы'!$A$191</f>
        <v xml:space="preserve">ТА 25-8-7 </v>
      </c>
      <c r="E226" s="233" t="s">
        <v>7</v>
      </c>
      <c r="F226" s="64">
        <f>'Оборудование и материалы'!$D$191</f>
        <v>12.21</v>
      </c>
      <c r="G226" s="233">
        <f>G189*8</f>
        <v>0</v>
      </c>
      <c r="H226" s="53">
        <f t="shared" si="8"/>
        <v>0</v>
      </c>
    </row>
    <row r="227" spans="1:8" ht="13.7" customHeight="1" x14ac:dyDescent="0.25">
      <c r="A227" s="52"/>
      <c r="B227" s="52"/>
      <c r="C227" s="7" t="s">
        <v>70</v>
      </c>
      <c r="D227" s="9" t="str">
        <f>'Оборудование и материалы'!$A$192</f>
        <v>Наконечник штифтовой НШП-25</v>
      </c>
      <c r="E227" s="233" t="s">
        <v>7</v>
      </c>
      <c r="F227" s="64">
        <f>'Оборудование и материалы'!$D$192</f>
        <v>15.906000000000002</v>
      </c>
      <c r="G227" s="233">
        <f>G189*8</f>
        <v>0</v>
      </c>
      <c r="H227" s="53">
        <f t="shared" si="8"/>
        <v>0</v>
      </c>
    </row>
    <row r="228" spans="1:8" ht="13.7" customHeight="1" x14ac:dyDescent="0.25">
      <c r="A228" s="52"/>
      <c r="B228" s="52"/>
      <c r="C228" s="4" t="s">
        <v>59</v>
      </c>
      <c r="D228" s="5" t="str">
        <f>'Оборудование и материалы'!$A$193</f>
        <v>Стяжка монтажная,  100 шт. на ТП</v>
      </c>
      <c r="E228" s="233" t="s">
        <v>7</v>
      </c>
      <c r="F228" s="64">
        <f>'Оборудование и материалы'!$D$193</f>
        <v>299.80508474576271</v>
      </c>
      <c r="G228" s="233">
        <f>G194</f>
        <v>8</v>
      </c>
      <c r="H228" s="53">
        <f t="shared" si="8"/>
        <v>2398.4406779661017</v>
      </c>
    </row>
    <row r="229" spans="1:8" ht="13.7" customHeight="1" x14ac:dyDescent="0.25">
      <c r="A229" s="52"/>
      <c r="B229" s="52"/>
      <c r="C229" s="4"/>
      <c r="D229" s="5"/>
      <c r="E229" s="233"/>
      <c r="F229" s="64"/>
      <c r="G229" s="233"/>
      <c r="H229" s="53">
        <f t="shared" si="8"/>
        <v>0</v>
      </c>
    </row>
    <row r="230" spans="1:8" ht="13.7" customHeight="1" x14ac:dyDescent="0.25">
      <c r="A230" s="52"/>
      <c r="B230" s="52"/>
      <c r="C230" s="4"/>
      <c r="D230" s="14" t="s">
        <v>62</v>
      </c>
      <c r="E230" s="233"/>
      <c r="F230" s="53"/>
      <c r="G230" s="233"/>
      <c r="H230" s="53">
        <f>SUM(H189:H191)</f>
        <v>584414.91525423725</v>
      </c>
    </row>
    <row r="231" spans="1:8" ht="13.7" customHeight="1" x14ac:dyDescent="0.25">
      <c r="A231" s="52"/>
      <c r="B231" s="52"/>
      <c r="C231" s="20"/>
      <c r="D231" s="117" t="s">
        <v>107</v>
      </c>
      <c r="E231" s="233"/>
      <c r="F231" s="53"/>
      <c r="G231" s="233"/>
      <c r="H231" s="64">
        <f>SUM(H192:H229)</f>
        <v>368444.42250847456</v>
      </c>
    </row>
    <row r="232" spans="1:8" ht="13.7" customHeight="1" x14ac:dyDescent="0.25">
      <c r="A232" s="52"/>
      <c r="B232" s="52"/>
      <c r="C232" s="20"/>
      <c r="D232" s="15" t="s">
        <v>131</v>
      </c>
      <c r="E232" s="233"/>
      <c r="F232" s="53"/>
      <c r="G232" s="134">
        <f>G194</f>
        <v>8</v>
      </c>
      <c r="H232" s="135">
        <f>F232*G232</f>
        <v>0</v>
      </c>
    </row>
    <row r="233" spans="1:8" ht="13.7" customHeight="1" x14ac:dyDescent="0.25">
      <c r="A233" s="54"/>
      <c r="B233" s="54"/>
      <c r="C233" s="70" t="s">
        <v>54</v>
      </c>
      <c r="D233" s="18"/>
      <c r="E233" s="62"/>
      <c r="F233" s="63"/>
      <c r="G233" s="62"/>
      <c r="H233" s="63"/>
    </row>
    <row r="234" spans="1:8" ht="62.1" hidden="1" customHeight="1" x14ac:dyDescent="0.25">
      <c r="A234" s="58"/>
      <c r="B234" s="58"/>
      <c r="C234" s="2" t="s">
        <v>147</v>
      </c>
      <c r="D234" s="8" t="str">
        <f>'Оборудование и материалы'!$A$52</f>
        <v>Трехфазный счетчик прямого включения активно-реактивный,(8-тарифов, класс.точности (А/Р)- 1,0/2,0, Uном 3х220(230)/380(400) Iном (макс)  5-(100)А, оптопорт, RS-485, (открытый протокол DLMS/COSEM), c GSM/GPRS модулем, -40...+70)  или аналог. (NP 73E.2-2-2 с GSM/GPRS)</v>
      </c>
      <c r="E234" s="233" t="s">
        <v>7</v>
      </c>
      <c r="F234" s="64">
        <f>'Оборудование и материалы'!$D$24</f>
        <v>5508.4745762711864</v>
      </c>
      <c r="G234" s="31">
        <v>0</v>
      </c>
      <c r="H234" s="64">
        <f t="shared" ref="H234:H236" si="9">F234*G234</f>
        <v>0</v>
      </c>
    </row>
    <row r="235" spans="1:8" s="241" customFormat="1" ht="52.5" hidden="1" customHeight="1" x14ac:dyDescent="0.25">
      <c r="A235" s="58"/>
      <c r="B235" s="58"/>
      <c r="C235" s="7" t="s">
        <v>55</v>
      </c>
      <c r="D235" s="149" t="str">
        <f>'Оборудование и материалы'!$A$53</f>
        <v>Трехфазный счетчик полукосвенного включения активно-реактивный, (8-тарифов, класс.точности (А/Р)- 1,0/2,0, Uном 3х220(230)/380(400) Iном (макс)  5-(7,5)А,  оптопорт, RS-485, (открытый протокол DLMS/COSEM), c GSM/GPRS модулем, -40...+70)  или аналог. (NP 73E.3-6-2  с GSM/GPRS)</v>
      </c>
      <c r="E235" s="233" t="s">
        <v>7</v>
      </c>
      <c r="F235" s="64">
        <f>'Оборудование и материалы'!$D$25</f>
        <v>7711.8644067796613</v>
      </c>
      <c r="G235" s="31">
        <v>0</v>
      </c>
      <c r="H235" s="64">
        <f t="shared" si="9"/>
        <v>0</v>
      </c>
    </row>
    <row r="236" spans="1:8" s="241" customFormat="1" ht="13.7" hidden="1" customHeight="1" x14ac:dyDescent="0.25">
      <c r="A236" s="58"/>
      <c r="B236" s="58"/>
      <c r="C236" s="116"/>
      <c r="D236" s="116"/>
      <c r="E236" s="116"/>
      <c r="F236" s="64"/>
      <c r="G236" s="31"/>
      <c r="H236" s="64">
        <f t="shared" si="9"/>
        <v>0</v>
      </c>
    </row>
    <row r="237" spans="1:8" s="241" customFormat="1" ht="13.7" hidden="1" customHeight="1" x14ac:dyDescent="0.25">
      <c r="A237" s="58"/>
      <c r="B237" s="58"/>
      <c r="C237" s="20"/>
      <c r="D237" s="14" t="s">
        <v>62</v>
      </c>
      <c r="E237" s="233"/>
      <c r="F237" s="64"/>
      <c r="G237" s="31"/>
      <c r="H237" s="64">
        <f>SUM(H234:H235)</f>
        <v>0</v>
      </c>
    </row>
    <row r="238" spans="1:8" s="241" customFormat="1" ht="13.7" hidden="1" customHeight="1" x14ac:dyDescent="0.25">
      <c r="A238" s="58"/>
      <c r="B238" s="58"/>
      <c r="C238" s="20"/>
      <c r="D238" s="117" t="s">
        <v>107</v>
      </c>
      <c r="E238" s="233"/>
      <c r="F238" s="64"/>
      <c r="G238" s="31"/>
      <c r="H238" s="64"/>
    </row>
    <row r="239" spans="1:8" s="241" customFormat="1" ht="13.7" hidden="1" customHeight="1" x14ac:dyDescent="0.25">
      <c r="A239" s="58"/>
      <c r="B239" s="58"/>
      <c r="C239" s="20"/>
      <c r="D239" s="15" t="s">
        <v>131</v>
      </c>
      <c r="E239" s="233"/>
      <c r="F239" s="64"/>
      <c r="G239" s="136"/>
      <c r="H239" s="135">
        <f>F239*G239</f>
        <v>0</v>
      </c>
    </row>
    <row r="240" spans="1:8" ht="13.7" customHeight="1" x14ac:dyDescent="0.25">
      <c r="A240" s="65"/>
      <c r="B240" s="65"/>
      <c r="C240" s="47" t="s">
        <v>60</v>
      </c>
      <c r="D240" s="66"/>
      <c r="E240" s="67"/>
      <c r="F240" s="68"/>
      <c r="G240" s="67"/>
      <c r="H240" s="68"/>
    </row>
    <row r="241" spans="1:8" ht="13.7" customHeight="1" x14ac:dyDescent="0.25">
      <c r="A241" s="52"/>
      <c r="B241" s="52"/>
      <c r="C241" s="5" t="s">
        <v>133</v>
      </c>
      <c r="D241" s="5" t="str">
        <f>'Оборудование и материалы'!$A$182</f>
        <v>Пластиковая пломба с логотипом (ОАО «ДРСК») и уникальным номером</v>
      </c>
      <c r="E241" s="12" t="s">
        <v>7</v>
      </c>
      <c r="F241" s="64">
        <f>'Оборудование и материалы'!$D$182</f>
        <v>11.22</v>
      </c>
      <c r="G241" s="233">
        <f>G10+G25+G41+G49+G57+G72+G88+G99+G114+G130+G138+G143+G158+G174+G181+G182+G234+G235</f>
        <v>264</v>
      </c>
      <c r="H241" s="53">
        <f t="shared" ref="H241:H248" si="10">F241*G241</f>
        <v>2962.0800000000004</v>
      </c>
    </row>
    <row r="242" spans="1:8" ht="13.7" customHeight="1" x14ac:dyDescent="0.25">
      <c r="A242" s="52"/>
      <c r="B242" s="52"/>
      <c r="C242" s="5" t="s">
        <v>134</v>
      </c>
      <c r="D242" s="5" t="s">
        <v>136</v>
      </c>
      <c r="E242" s="12" t="s">
        <v>7</v>
      </c>
      <c r="F242" s="64">
        <v>2.3100000000000005</v>
      </c>
      <c r="G242" s="233">
        <f>G189+G190+G191+G194+G196+G197+G198+G199+G200+G201+G202+G203+G204+G205+G206+G215</f>
        <v>56</v>
      </c>
      <c r="H242" s="53">
        <f t="shared" si="10"/>
        <v>129.36000000000001</v>
      </c>
    </row>
    <row r="243" spans="1:8" ht="13.7" customHeight="1" x14ac:dyDescent="0.25">
      <c r="A243" s="52"/>
      <c r="B243" s="52"/>
      <c r="C243" s="5" t="s">
        <v>61</v>
      </c>
      <c r="D243" s="5" t="s">
        <v>61</v>
      </c>
      <c r="E243" s="233" t="s">
        <v>8</v>
      </c>
      <c r="F243" s="64">
        <v>2.6565000000000003</v>
      </c>
      <c r="G243" s="233">
        <f>G241+G242</f>
        <v>320</v>
      </c>
      <c r="H243" s="53">
        <f t="shared" si="10"/>
        <v>850.08000000000015</v>
      </c>
    </row>
    <row r="244" spans="1:8" ht="13.7" customHeight="1" x14ac:dyDescent="0.25">
      <c r="A244" s="52"/>
      <c r="B244" s="52"/>
      <c r="C244" s="130" t="s">
        <v>306</v>
      </c>
      <c r="D244" s="116"/>
      <c r="E244" s="12" t="s">
        <v>7</v>
      </c>
      <c r="F244" s="64"/>
      <c r="G244" s="233"/>
      <c r="H244" s="53">
        <f t="shared" si="10"/>
        <v>0</v>
      </c>
    </row>
    <row r="245" spans="1:8" ht="13.7" customHeight="1" x14ac:dyDescent="0.25">
      <c r="A245" s="52"/>
      <c r="B245" s="52"/>
      <c r="C245" s="3" t="s">
        <v>117</v>
      </c>
      <c r="D245" s="181" t="str">
        <f>'Оборудование и материалы'!$A$146</f>
        <v>Антенна  BEST GSM-900 AKL-B в комплекте с кабелем 15м</v>
      </c>
      <c r="E245" s="12" t="s">
        <v>7</v>
      </c>
      <c r="F245" s="64">
        <f>'Оборудование и материалы'!$D$146</f>
        <v>7226.5847457627133</v>
      </c>
      <c r="G245" s="253">
        <v>9</v>
      </c>
      <c r="H245" s="53">
        <f t="shared" si="10"/>
        <v>65039.262711864416</v>
      </c>
    </row>
    <row r="246" spans="1:8" ht="13.7" customHeight="1" x14ac:dyDescent="0.25">
      <c r="A246" s="52"/>
      <c r="B246" s="52"/>
      <c r="C246" s="21" t="s">
        <v>233</v>
      </c>
      <c r="D246" s="21"/>
      <c r="E246" s="12" t="s">
        <v>7</v>
      </c>
      <c r="F246" s="64"/>
      <c r="G246" s="233"/>
      <c r="H246" s="53">
        <f t="shared" si="10"/>
        <v>0</v>
      </c>
    </row>
    <row r="247" spans="1:8" ht="13.7" customHeight="1" x14ac:dyDescent="0.25">
      <c r="A247" s="52"/>
      <c r="B247" s="52"/>
      <c r="C247" s="21" t="s">
        <v>307</v>
      </c>
      <c r="D247" s="21" t="str">
        <f>'Оборудование и материалы'!A155</f>
        <v>Модем USB-RF предназначен для осуществления удаленного радиодоступа со стороны компьютера к счетчикам электроэнергии</v>
      </c>
      <c r="E247" s="12" t="s">
        <v>7</v>
      </c>
      <c r="F247" s="64">
        <f>'Оборудование и материалы'!D155</f>
        <v>10979.661016949152</v>
      </c>
      <c r="G247" s="233">
        <v>1</v>
      </c>
      <c r="H247" s="53">
        <f t="shared" si="10"/>
        <v>10979.661016949152</v>
      </c>
    </row>
    <row r="248" spans="1:8" x14ac:dyDescent="0.25">
      <c r="A248" s="52"/>
      <c r="B248" s="52"/>
      <c r="C248" s="21"/>
      <c r="D248" s="22"/>
      <c r="E248" s="12"/>
      <c r="F248" s="64"/>
      <c r="G248" s="233"/>
      <c r="H248" s="53">
        <f t="shared" si="10"/>
        <v>0</v>
      </c>
    </row>
    <row r="249" spans="1:8" x14ac:dyDescent="0.25">
      <c r="A249" s="52"/>
      <c r="B249" s="52"/>
      <c r="C249" s="5"/>
      <c r="D249" s="14" t="s">
        <v>62</v>
      </c>
      <c r="E249" s="12"/>
      <c r="F249" s="64"/>
      <c r="G249" s="233"/>
      <c r="H249" s="53">
        <v>0</v>
      </c>
    </row>
    <row r="250" spans="1:8" x14ac:dyDescent="0.25">
      <c r="A250" s="52"/>
      <c r="B250" s="52"/>
      <c r="C250" s="86"/>
      <c r="D250" s="117" t="s">
        <v>107</v>
      </c>
      <c r="E250" s="233"/>
      <c r="F250" s="86"/>
      <c r="G250" s="233"/>
      <c r="H250" s="53">
        <f>SUM(H241:H243,H244:H247)</f>
        <v>79960.443728813567</v>
      </c>
    </row>
    <row r="251" spans="1:8" x14ac:dyDescent="0.25">
      <c r="A251" s="52"/>
      <c r="B251" s="52"/>
      <c r="C251" s="21"/>
      <c r="D251" s="15"/>
      <c r="E251" s="16"/>
      <c r="F251" s="86"/>
      <c r="G251" s="233"/>
      <c r="H251" s="64"/>
    </row>
    <row r="252" spans="1:8" s="242" customFormat="1" x14ac:dyDescent="0.25">
      <c r="A252" s="52"/>
      <c r="B252" s="52"/>
      <c r="C252" s="21"/>
      <c r="D252" s="15"/>
      <c r="E252" s="52"/>
      <c r="F252" s="86"/>
      <c r="G252" s="233"/>
      <c r="H252" s="64"/>
    </row>
    <row r="253" spans="1:8" s="242" customFormat="1" x14ac:dyDescent="0.25">
      <c r="A253" s="52"/>
      <c r="B253" s="52"/>
      <c r="C253" s="21"/>
      <c r="D253" s="15" t="s">
        <v>64</v>
      </c>
      <c r="E253" s="52"/>
      <c r="F253" s="86"/>
      <c r="G253" s="233"/>
      <c r="H253" s="53">
        <f>H21+H37+H45+H53+H68+H84+H94+H110+H126+H134+H140+H154+H170+H176+H184+H230+H237+H249</f>
        <v>3535403</v>
      </c>
    </row>
    <row r="254" spans="1:8" s="242" customFormat="1" x14ac:dyDescent="0.25">
      <c r="A254" s="52"/>
      <c r="B254" s="52"/>
      <c r="C254" s="21"/>
      <c r="D254" s="15" t="s">
        <v>128</v>
      </c>
      <c r="E254" s="233"/>
      <c r="F254" s="86"/>
      <c r="G254" s="233"/>
      <c r="H254" s="53">
        <f>H22+H38+H46+H54+H69+H85+H95+H111+H127+H135+H155+H171+H185+H231+H238+H250</f>
        <v>1354259.1317493769</v>
      </c>
    </row>
    <row r="255" spans="1:8" s="242" customFormat="1" x14ac:dyDescent="0.25">
      <c r="A255" s="52"/>
      <c r="B255" s="52"/>
      <c r="C255" s="21"/>
      <c r="D255" s="15" t="s">
        <v>65</v>
      </c>
      <c r="E255" s="233"/>
      <c r="F255" s="86"/>
      <c r="G255" s="233"/>
      <c r="H255" s="53">
        <f>H23+H39+H47+H55+H70+H86+H96+H112+H128+H136+H141+H156+H172+H177+H186+H232+H239</f>
        <v>0</v>
      </c>
    </row>
    <row r="256" spans="1:8" s="242" customFormat="1" x14ac:dyDescent="0.25">
      <c r="A256" s="52"/>
      <c r="B256" s="52"/>
      <c r="C256" s="21"/>
      <c r="D256" s="72" t="s">
        <v>63</v>
      </c>
      <c r="E256" s="52"/>
      <c r="F256" s="53"/>
      <c r="G256" s="233"/>
      <c r="H256" s="135">
        <f>H253+H254+H255</f>
        <v>4889662.1317493767</v>
      </c>
    </row>
    <row r="257" spans="1:8" s="242" customFormat="1" ht="16.5" customHeight="1" x14ac:dyDescent="0.25">
      <c r="A257" s="73"/>
      <c r="B257" s="73"/>
      <c r="C257" s="73"/>
      <c r="D257" s="15" t="s">
        <v>66</v>
      </c>
      <c r="E257" s="73"/>
      <c r="F257" s="94"/>
      <c r="G257" s="94"/>
      <c r="H257" s="126"/>
    </row>
    <row r="258" spans="1:8" s="242" customFormat="1" x14ac:dyDescent="0.25">
      <c r="A258" s="52"/>
      <c r="B258" s="52"/>
      <c r="C258" s="21"/>
      <c r="D258" s="15" t="s">
        <v>67</v>
      </c>
      <c r="E258" s="233"/>
      <c r="F258" s="53"/>
      <c r="G258" s="233"/>
      <c r="H258" s="87">
        <f>H256+H257</f>
        <v>4889662.1317493767</v>
      </c>
    </row>
    <row r="259" spans="1:8" s="242" customFormat="1" x14ac:dyDescent="0.25">
      <c r="A259" s="235"/>
      <c r="B259" s="235"/>
      <c r="C259" s="236"/>
      <c r="D259" s="236"/>
      <c r="E259" s="237"/>
      <c r="F259" s="88"/>
      <c r="G259" s="76"/>
      <c r="H259" s="74"/>
    </row>
    <row r="260" spans="1:8" s="242" customFormat="1" x14ac:dyDescent="0.25">
      <c r="A260" s="235"/>
      <c r="B260" s="235"/>
      <c r="C260" s="236"/>
      <c r="D260" s="236"/>
      <c r="E260" s="237"/>
      <c r="F260" s="240"/>
      <c r="H260" s="238"/>
    </row>
    <row r="261" spans="1:8" s="242" customFormat="1" x14ac:dyDescent="0.25">
      <c r="A261" s="235"/>
      <c r="B261" s="235"/>
      <c r="C261" s="236"/>
      <c r="D261" s="236"/>
      <c r="E261" s="237"/>
      <c r="F261" s="240"/>
      <c r="H261" s="238"/>
    </row>
    <row r="262" spans="1:8" s="242" customFormat="1" x14ac:dyDescent="0.25">
      <c r="A262" s="235"/>
      <c r="B262" s="235"/>
      <c r="C262" s="236"/>
      <c r="D262" s="236"/>
      <c r="E262" s="237"/>
      <c r="F262" s="240"/>
      <c r="H262" s="238"/>
    </row>
    <row r="263" spans="1:8" s="242" customFormat="1" x14ac:dyDescent="0.25">
      <c r="A263" s="235"/>
      <c r="B263" s="235"/>
      <c r="C263" s="236"/>
      <c r="D263" s="236"/>
      <c r="E263" s="237"/>
      <c r="F263" s="240"/>
      <c r="H263" s="238"/>
    </row>
    <row r="264" spans="1:8" s="242" customFormat="1" x14ac:dyDescent="0.25">
      <c r="A264" s="235"/>
      <c r="B264" s="235"/>
      <c r="C264" s="236"/>
      <c r="D264" s="236"/>
      <c r="E264" s="237"/>
      <c r="F264" s="240"/>
      <c r="G264" s="240"/>
      <c r="H264" s="238"/>
    </row>
    <row r="265" spans="1:8" s="242" customFormat="1" x14ac:dyDescent="0.25">
      <c r="A265" s="235"/>
      <c r="B265" s="264" t="s">
        <v>108</v>
      </c>
      <c r="C265" s="264"/>
      <c r="D265" s="264"/>
      <c r="E265" s="264"/>
      <c r="F265" s="264"/>
      <c r="G265" s="264"/>
      <c r="H265" s="264"/>
    </row>
    <row r="266" spans="1:8" s="242" customFormat="1" x14ac:dyDescent="0.25">
      <c r="A266" s="235"/>
      <c r="B266" s="235"/>
      <c r="C266" s="252"/>
      <c r="D266" s="252"/>
      <c r="E266" s="235"/>
      <c r="F266" s="235"/>
      <c r="G266" s="152"/>
      <c r="H266" s="80"/>
    </row>
    <row r="267" spans="1:8" s="242" customFormat="1" ht="13.7" customHeight="1" x14ac:dyDescent="0.25">
      <c r="A267" s="235"/>
      <c r="B267" s="235"/>
      <c r="C267" s="239" t="s">
        <v>6</v>
      </c>
      <c r="D267" s="127" t="str">
        <f>'Оборудование и материалы'!$A$58</f>
        <v>Однофазный прибор учета (8-тарифов, класс.точности (А/Р)- 1,0/2,0,  Uном -220(230) Iном (макс) 5-(100)А, встроенный приемо-передатчик RF, PLC, функция ретранслятора и радиомоста, RS-485, оптопорт, 3-дискретных выхода, 2-канала измерения, -40…+70 °С) или аналог.</v>
      </c>
      <c r="E267" s="235" t="s">
        <v>7</v>
      </c>
      <c r="F267" s="75">
        <f>G138</f>
        <v>0</v>
      </c>
      <c r="G267" s="75"/>
      <c r="H267" s="247"/>
    </row>
    <row r="268" spans="1:8" s="242" customFormat="1" ht="13.7" customHeight="1" x14ac:dyDescent="0.25">
      <c r="A268" s="235"/>
      <c r="B268" s="235"/>
      <c r="C268" s="239" t="s">
        <v>6</v>
      </c>
      <c r="D268" s="127" t="str">
        <f>'Оборудование и материалы'!$A$59</f>
        <v>Однофазный прибор учета (8-тарифов, класс.точности (А/Р)- 1,0/2,0,  Uном -220(230) Iном (макс) 5-(80)А, встроенный приемо-передатчик RF, PLC, функция ретранслятора и радиомоста, RS-485, оптопорт, 3-дискретных выхода, 2-канала измерения,  устройством коммутации нагрузки, -40…+70 °С) или аналог.</v>
      </c>
      <c r="E268" s="235" t="s">
        <v>7</v>
      </c>
      <c r="F268" s="75">
        <f>G49</f>
        <v>0</v>
      </c>
      <c r="G268" s="75"/>
      <c r="H268" s="247"/>
    </row>
    <row r="269" spans="1:8" s="242" customFormat="1" ht="13.7" customHeight="1" x14ac:dyDescent="0.25">
      <c r="A269" s="235"/>
      <c r="B269" s="235"/>
      <c r="C269" s="239" t="s">
        <v>6</v>
      </c>
      <c r="D269" s="127" t="str">
        <f>'Оборудование и материалы'!$A$57</f>
        <v>Однофазный прибор учета, с установкой на столбе, на уровне траверсы опоры, (2-тарифа, класс.точности (А/Р)- 1,0/2,0, Uном 220(230) Iном (макс) 5-(80)А + дистанционный дисплей, встроенный приемо-передатчик RF, PLC, функция ретранслятора и радиомоста,  с устройством коммутации нагрузки, -40...+70 °С) или аналог.</v>
      </c>
      <c r="E269" s="235" t="s">
        <v>7</v>
      </c>
      <c r="F269" s="152">
        <f>G10+G25+G41+G99+G114+G130</f>
        <v>239</v>
      </c>
      <c r="G269" s="75"/>
      <c r="H269" s="247"/>
    </row>
    <row r="270" spans="1:8" s="242" customFormat="1" ht="13.7" customHeight="1" x14ac:dyDescent="0.25">
      <c r="A270" s="235"/>
      <c r="B270" s="235"/>
      <c r="C270" s="239" t="s">
        <v>18</v>
      </c>
      <c r="D270" s="127" t="s">
        <v>18</v>
      </c>
      <c r="E270" s="235" t="s">
        <v>7</v>
      </c>
      <c r="F270" s="152"/>
      <c r="G270" s="75"/>
      <c r="H270" s="248"/>
    </row>
    <row r="271" spans="1:8" s="242" customFormat="1" ht="13.7" customHeight="1" x14ac:dyDescent="0.25">
      <c r="A271" s="235"/>
      <c r="B271" s="71"/>
      <c r="C271" s="239" t="s">
        <v>21</v>
      </c>
      <c r="D271" s="127" t="str">
        <f>'Оборудование и материалы'!$A$60</f>
        <v>Трехфазный счетчик прямого включения активно-реактивный, с установкой на столбе, на уровне траверсы опоры (8-тарифов, класс.точности (А/Р)- 1,0/2,0, Uном 3х220(230)/380(400) Iном (макс) 5-(100)А + дистанционный дисплей, встроенный приемо-передатчик RF, PLC, функция ретранслятора и радиомоста, оптопорт, RS-485, с устройством коммутации нагрузки) или аналог.</v>
      </c>
      <c r="E271" s="235" t="s">
        <v>7</v>
      </c>
      <c r="F271" s="118">
        <f>G57+G72+G88+G143+G158</f>
        <v>21</v>
      </c>
      <c r="G271" s="75"/>
      <c r="H271" s="249"/>
    </row>
    <row r="272" spans="1:8" s="242" customFormat="1" ht="13.7" customHeight="1" x14ac:dyDescent="0.25">
      <c r="A272" s="76"/>
      <c r="B272" s="23"/>
      <c r="C272" s="239" t="s">
        <v>147</v>
      </c>
      <c r="D272" s="127" t="str">
        <f>'Оборудование и материалы'!$A$61</f>
        <v>Трехфазный счетчик прямого включения активно-реактивный, (8-тарифов, класс.точности (А/Р)- 1,0/2,0, Uном 3х220(230)/380(400) Iном (макс) 5-(80)А, встроенный приемо-передатчик RF, PLC, функция ретранслятора и радиомоста, оптопорт, 2RS-485, с устройством коммутации нагрузки, (открытый протокол DLMS/COSEM), 2-дискретных входа, 2-дискретных выхода, -40...+70 °С)  или аналог.</v>
      </c>
      <c r="E272" s="235" t="s">
        <v>7</v>
      </c>
      <c r="F272" s="79">
        <f>G174</f>
        <v>0</v>
      </c>
      <c r="G272" s="75"/>
      <c r="H272" s="246"/>
    </row>
    <row r="273" spans="1:12" s="242" customFormat="1" ht="13.7" customHeight="1" x14ac:dyDescent="0.25">
      <c r="A273" s="76"/>
      <c r="B273" s="23"/>
      <c r="C273" s="239" t="s">
        <v>24</v>
      </c>
      <c r="D273" s="127" t="str">
        <f>'Оборудование и материалы'!$A$62</f>
        <v>Трехфазный счетчик полукосвенного включения активно-реактивный, (8-тарифов, класс.точности (А/Р)- 0,5S/1,0, Uном 3х220(230)/380(400) Iном (макс)  5-(7,5)А,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</v>
      </c>
      <c r="E273" s="235" t="s">
        <v>7</v>
      </c>
      <c r="F273" s="79">
        <f>G181+G190</f>
        <v>10</v>
      </c>
      <c r="G273" s="75"/>
      <c r="H273" s="246"/>
    </row>
    <row r="274" spans="1:12" s="242" customFormat="1" ht="13.7" customHeight="1" x14ac:dyDescent="0.25">
      <c r="A274" s="76"/>
      <c r="B274" s="23"/>
      <c r="C274" s="239" t="s">
        <v>147</v>
      </c>
      <c r="D274" s="127" t="str">
        <f>'Оборудование и материалы'!$A$63</f>
        <v xml:space="preserve"> Трехфазный счетчик прямого включения активно-реактивный, (8-тарифов, класс.точности (А/Р)- 1,0/2,0, Uном 3х220(230)/380(400) Iном (макс)  5-(100)А , встроенный приемо-передатчик RF, PLC, функция ретранслятора и радиомоста, оптопорт, 2RS-485, (открытый протокол DLMS/COSEM), 2-дискретных входа, 2-дискретных выхода, -40...+70 °С)  или аналог. </v>
      </c>
      <c r="E274" s="235" t="s">
        <v>7</v>
      </c>
      <c r="F274" s="79">
        <f>G189</f>
        <v>0</v>
      </c>
      <c r="G274" s="75"/>
      <c r="H274" s="246"/>
    </row>
    <row r="275" spans="1:12" s="242" customFormat="1" ht="13.7" customHeight="1" x14ac:dyDescent="0.25">
      <c r="A275" s="76"/>
      <c r="B275" s="23"/>
      <c r="C275" s="239" t="s">
        <v>147</v>
      </c>
      <c r="D275" s="127" t="str">
        <f>'Оборудование и материалы'!$A$52</f>
        <v>Трехфазный счетчик прямого включения активно-реактивный,(8-тарифов, класс.точности (А/Р)- 1,0/2,0, Uном 3х220(230)/380(400) Iном (макс)  5-(100)А, оптопорт, RS-485, (открытый протокол DLMS/COSEM), c GSM/GPRS модулем, -40...+70)  или аналог. (NP 73E.2-2-2 с GSM/GPRS)</v>
      </c>
      <c r="E275" s="235" t="s">
        <v>7</v>
      </c>
      <c r="F275" s="79">
        <f>G234</f>
        <v>0</v>
      </c>
      <c r="G275" s="75"/>
      <c r="H275" s="246"/>
      <c r="L275" s="242">
        <f t="shared" ref="L275" si="11">J275+K275</f>
        <v>0</v>
      </c>
    </row>
    <row r="276" spans="1:12" s="242" customFormat="1" ht="13.7" customHeight="1" x14ac:dyDescent="0.25">
      <c r="B276" s="23"/>
      <c r="C276" s="239" t="s">
        <v>24</v>
      </c>
      <c r="D276" s="127" t="str">
        <f>'Оборудование и материалы'!$A$53</f>
        <v>Трехфазный счетчик полукосвенного включения активно-реактивный, (8-тарифов, класс.точности (А/Р)- 1,0/2,0, Uном 3х220(230)/380(400) Iном (макс)  5-(7,5)А,  оптопорт, RS-485, (открытый протокол DLMS/COSEM), c GSM/GPRS модулем, -40...+70)  или аналог. (NP 73E.3-6-2  с GSM/GPRS)</v>
      </c>
      <c r="E276" s="235" t="s">
        <v>7</v>
      </c>
      <c r="F276" s="79">
        <f>G235</f>
        <v>0</v>
      </c>
      <c r="G276" s="75"/>
      <c r="H276" s="246"/>
    </row>
    <row r="277" spans="1:12" ht="13.7" customHeight="1" x14ac:dyDescent="0.25">
      <c r="B277" s="23"/>
      <c r="C277" s="77" t="s">
        <v>31</v>
      </c>
      <c r="D277" s="140" t="str">
        <f>'Оборудование и материалы'!$A$78</f>
        <v xml:space="preserve">УСПД (GSM/GPRS), (в комплекте с защитным устройством: трехфазный автоматический выключатель ВА 47-63 3п 6А С -1 шт., ОИН-3 шт. на Din-рейку) </v>
      </c>
      <c r="E277" s="78" t="s">
        <v>7</v>
      </c>
      <c r="F277" s="152">
        <f>G191</f>
        <v>8</v>
      </c>
      <c r="G277" s="75"/>
      <c r="H277" s="247"/>
    </row>
    <row r="278" spans="1:12" ht="13.7" customHeight="1" x14ac:dyDescent="0.25">
      <c r="B278" s="23"/>
      <c r="C278" s="77" t="s">
        <v>110</v>
      </c>
      <c r="D278" s="140" t="str">
        <f>'Оборудование и материалы'!$A$84</f>
        <v>Терминал мобильный "Рим 099.01.01"</v>
      </c>
      <c r="E278" s="78" t="s">
        <v>7</v>
      </c>
      <c r="F278" s="152"/>
      <c r="G278" s="75"/>
      <c r="H278" s="250"/>
    </row>
    <row r="279" spans="1:12" ht="13.7" customHeight="1" x14ac:dyDescent="0.25">
      <c r="B279" s="23"/>
      <c r="C279" s="77" t="s">
        <v>110</v>
      </c>
      <c r="D279" s="140" t="str">
        <f>'Оборудование и материалы'!$A$85</f>
        <v>Терминал мобильный "Рим 099.01.03"</v>
      </c>
      <c r="E279" s="78" t="s">
        <v>7</v>
      </c>
      <c r="F279" s="152"/>
      <c r="G279" s="75"/>
      <c r="H279" s="80"/>
    </row>
    <row r="280" spans="1:12" ht="13.7" customHeight="1" x14ac:dyDescent="0.25">
      <c r="B280" s="23"/>
      <c r="C280" s="77" t="s">
        <v>76</v>
      </c>
      <c r="D280" s="140" t="str">
        <f>'Оборудование и материалы'!$A$86</f>
        <v>Мини-ный комплект для терминала мобильного "Рим 099.01.08"</v>
      </c>
      <c r="E280" s="78" t="s">
        <v>7</v>
      </c>
      <c r="F280" s="152"/>
      <c r="G280" s="75"/>
      <c r="H280" s="80"/>
    </row>
    <row r="281" spans="1:12" ht="13.7" customHeight="1" x14ac:dyDescent="0.25">
      <c r="B281" s="23"/>
      <c r="C281" s="77" t="s">
        <v>56</v>
      </c>
      <c r="D281" s="140" t="s">
        <v>118</v>
      </c>
      <c r="E281" s="78" t="s">
        <v>7</v>
      </c>
      <c r="F281" s="152"/>
      <c r="G281" s="75"/>
      <c r="H281" s="80"/>
    </row>
    <row r="282" spans="1:12" ht="13.7" customHeight="1" x14ac:dyDescent="0.25">
      <c r="B282" s="23"/>
      <c r="C282" s="77"/>
      <c r="D282" s="77"/>
      <c r="E282" s="78"/>
      <c r="F282" s="152"/>
      <c r="G282" s="75"/>
      <c r="H282" s="80"/>
    </row>
    <row r="283" spans="1:12" ht="13.7" customHeight="1" x14ac:dyDescent="0.25">
      <c r="B283" s="23"/>
      <c r="C283" s="239" t="s">
        <v>34</v>
      </c>
      <c r="D283" s="239" t="str">
        <f>'Оборудование и материалы'!$A$118</f>
        <v>Трансформаторы тока 100/5, кл. 0,5S  У3 (Т-0,66-1-0,5S-5ВА-100/5 У3)</v>
      </c>
      <c r="E283" s="235" t="s">
        <v>7</v>
      </c>
      <c r="F283" s="152">
        <f t="shared" ref="F283:F293" si="12">G196</f>
        <v>0</v>
      </c>
      <c r="G283" s="75"/>
      <c r="H283" s="80"/>
    </row>
    <row r="284" spans="1:12" ht="13.7" customHeight="1" x14ac:dyDescent="0.25">
      <c r="B284" s="23"/>
      <c r="C284" s="239" t="s">
        <v>35</v>
      </c>
      <c r="D284" s="239" t="str">
        <f>'Оборудование и материалы'!$A$119</f>
        <v>Трансформаторы тока 150/5, кл. 0,5S  У3 (Т-0,66-1-0,5S-5ВА-150/5 У3)</v>
      </c>
      <c r="E284" s="235" t="s">
        <v>7</v>
      </c>
      <c r="F284" s="152">
        <f t="shared" si="12"/>
        <v>0</v>
      </c>
      <c r="G284" s="75"/>
      <c r="H284" s="80"/>
    </row>
    <row r="285" spans="1:12" ht="13.7" customHeight="1" x14ac:dyDescent="0.25">
      <c r="B285" s="23"/>
      <c r="C285" s="239" t="s">
        <v>36</v>
      </c>
      <c r="D285" s="239" t="str">
        <f>'Оборудование и материалы'!$A$120</f>
        <v>Трансформаторы тока 200/5, кл. 0,5S  У3 (Т-0,66-1-0,5S-5ВА-200/5 У3)</v>
      </c>
      <c r="E285" s="235" t="s">
        <v>7</v>
      </c>
      <c r="F285" s="118">
        <f t="shared" si="12"/>
        <v>24</v>
      </c>
      <c r="G285" s="75"/>
      <c r="H285" s="82"/>
    </row>
    <row r="286" spans="1:12" ht="13.7" customHeight="1" x14ac:dyDescent="0.25">
      <c r="B286" s="23"/>
      <c r="C286" s="239" t="s">
        <v>37</v>
      </c>
      <c r="D286" s="239" t="str">
        <f>'Оборудование и материалы'!$A$121</f>
        <v>Трансформаторы тока 300/5, кл. 0,5S  У3 (Т-0,66-2-0,5S-5ВА-300/5 У3)</v>
      </c>
      <c r="E286" s="235" t="s">
        <v>7</v>
      </c>
      <c r="F286" s="118">
        <f t="shared" si="12"/>
        <v>0</v>
      </c>
      <c r="G286" s="75"/>
      <c r="H286" s="82"/>
    </row>
    <row r="287" spans="1:12" ht="13.7" customHeight="1" x14ac:dyDescent="0.25">
      <c r="B287" s="23"/>
      <c r="C287" s="239" t="s">
        <v>38</v>
      </c>
      <c r="D287" s="239" t="str">
        <f>'Оборудование и материалы'!$A$122</f>
        <v>Трансформаторы тока 400/5, кл. 0,5S  У3 (Т-0,66-2-0,5S-5ВА-400/5 У3)</v>
      </c>
      <c r="E287" s="235" t="s">
        <v>7</v>
      </c>
      <c r="F287" s="118">
        <f t="shared" si="12"/>
        <v>0</v>
      </c>
      <c r="G287" s="75"/>
      <c r="H287" s="82"/>
    </row>
    <row r="288" spans="1:12" ht="13.7" customHeight="1" x14ac:dyDescent="0.25">
      <c r="B288" s="23"/>
      <c r="C288" s="239" t="s">
        <v>39</v>
      </c>
      <c r="D288" s="239" t="str">
        <f>'Оборудование и материалы'!$A$123</f>
        <v>Трансформаторы тока 600/5, кл. 0,5S  У3 (Т-0,66-3-0,5S-5ВА-600/5 У3)</v>
      </c>
      <c r="E288" s="235" t="s">
        <v>7</v>
      </c>
      <c r="F288" s="118">
        <f t="shared" si="12"/>
        <v>0</v>
      </c>
      <c r="G288" s="75"/>
      <c r="H288" s="82"/>
    </row>
    <row r="289" spans="2:8" ht="13.7" customHeight="1" x14ac:dyDescent="0.25">
      <c r="B289" s="23"/>
      <c r="C289" s="239" t="s">
        <v>40</v>
      </c>
      <c r="D289" s="239" t="str">
        <f>'Оборудование и материалы'!$A$124</f>
        <v>Трансформаторы тока 800/5, кл. 0,5S  У3 (ТШП-0,66 800/5 0,5 S)</v>
      </c>
      <c r="E289" s="235" t="s">
        <v>7</v>
      </c>
      <c r="F289" s="118">
        <f t="shared" si="12"/>
        <v>0</v>
      </c>
      <c r="G289" s="75"/>
      <c r="H289" s="82"/>
    </row>
    <row r="290" spans="2:8" ht="13.7" customHeight="1" x14ac:dyDescent="0.25">
      <c r="B290" s="23"/>
      <c r="C290" s="239" t="s">
        <v>137</v>
      </c>
      <c r="D290" s="239" t="str">
        <f>'Оборудование и материалы'!$A$125</f>
        <v>Трансформаторы тока 1000/5, кл. 0,5S  У3 (ТШП-0,66-10-0,5S-1000/5 У3)</v>
      </c>
      <c r="E290" s="235" t="s">
        <v>7</v>
      </c>
      <c r="F290" s="118">
        <f t="shared" si="12"/>
        <v>0</v>
      </c>
      <c r="G290" s="75"/>
      <c r="H290" s="82"/>
    </row>
    <row r="291" spans="2:8" ht="13.7" customHeight="1" x14ac:dyDescent="0.25">
      <c r="B291" s="23"/>
      <c r="C291" s="239" t="s">
        <v>138</v>
      </c>
      <c r="D291" s="239" t="str">
        <f>'Оборудование и материалы'!$A$126</f>
        <v>Трансформаторы тока 1200/5, кл. 0,5S  У3 (Т-0,66-М У3  1200/5  0,5S)</v>
      </c>
      <c r="E291" s="235" t="s">
        <v>7</v>
      </c>
      <c r="F291" s="118">
        <f t="shared" si="12"/>
        <v>0</v>
      </c>
      <c r="G291" s="75"/>
      <c r="H291" s="82"/>
    </row>
    <row r="292" spans="2:8" ht="13.7" customHeight="1" x14ac:dyDescent="0.25">
      <c r="B292" s="23"/>
      <c r="C292" s="239" t="s">
        <v>41</v>
      </c>
      <c r="D292" s="239" t="str">
        <f>'Оборудование и материалы'!$A$127</f>
        <v>Трансформаторы тока 1500/5, кл. 0,5S  У3 (ТШП-0,66-10-0,5S-1500/5 У3)</v>
      </c>
      <c r="E292" s="235" t="s">
        <v>7</v>
      </c>
      <c r="F292" s="118">
        <f t="shared" si="12"/>
        <v>0</v>
      </c>
      <c r="G292" s="75"/>
      <c r="H292" s="82"/>
    </row>
    <row r="293" spans="2:8" ht="13.7" customHeight="1" x14ac:dyDescent="0.25">
      <c r="B293" s="23"/>
      <c r="C293" s="239"/>
      <c r="D293" s="239" t="str">
        <f>'Оборудование и материалы'!$A$128</f>
        <v>Трансформаторы тока 2000/5, кл. 0,5S  У3 (Т-0,66 М 2000/5 0,5S)</v>
      </c>
      <c r="E293" s="235"/>
      <c r="F293" s="118">
        <f t="shared" si="12"/>
        <v>0</v>
      </c>
      <c r="G293" s="75"/>
      <c r="H293" s="82"/>
    </row>
    <row r="294" spans="2:8" ht="13.7" customHeight="1" x14ac:dyDescent="0.25">
      <c r="B294" s="23"/>
      <c r="C294" s="239"/>
      <c r="D294" s="239"/>
      <c r="E294" s="235"/>
      <c r="F294" s="118"/>
      <c r="G294" s="75"/>
      <c r="H294" s="82"/>
    </row>
    <row r="295" spans="2:8" ht="13.7" customHeight="1" x14ac:dyDescent="0.25">
      <c r="B295" s="23"/>
      <c r="C295" s="77" t="s">
        <v>25</v>
      </c>
      <c r="D295" s="77" t="str">
        <f>'Оборудование и материалы'!$A$143</f>
        <v>Испытательная коробка (КИ10, ИКК)</v>
      </c>
      <c r="E295" s="78" t="s">
        <v>7</v>
      </c>
      <c r="F295" s="79">
        <f>G182+G215</f>
        <v>10</v>
      </c>
      <c r="G295" s="75"/>
      <c r="H295" s="81"/>
    </row>
    <row r="296" spans="2:8" ht="13.7" customHeight="1" x14ac:dyDescent="0.25">
      <c r="B296" s="23"/>
      <c r="C296" s="77" t="s">
        <v>47</v>
      </c>
      <c r="D296" s="77" t="str">
        <f>'Оборудование и материалы'!$A$139</f>
        <v>Термик С-0,1(400*440*40)+EBERLE 16A TP-1</v>
      </c>
      <c r="E296" s="78" t="s">
        <v>7</v>
      </c>
      <c r="F296" s="79">
        <f>G195</f>
        <v>8</v>
      </c>
      <c r="G296" s="75"/>
      <c r="H296" s="81"/>
    </row>
    <row r="297" spans="2:8" ht="13.7" customHeight="1" x14ac:dyDescent="0.25">
      <c r="B297" s="23"/>
      <c r="C297" s="77"/>
      <c r="D297" s="77"/>
      <c r="E297" s="78"/>
      <c r="F297" s="81"/>
      <c r="G297" s="75"/>
      <c r="H297" s="81"/>
    </row>
    <row r="298" spans="2:8" ht="13.7" customHeight="1" x14ac:dyDescent="0.25">
      <c r="B298" s="23"/>
      <c r="C298" s="265" t="s">
        <v>109</v>
      </c>
      <c r="D298" s="265"/>
      <c r="E298" s="78"/>
      <c r="F298" s="81"/>
      <c r="G298" s="75"/>
      <c r="H298" s="81"/>
    </row>
    <row r="299" spans="2:8" ht="13.7" customHeight="1" x14ac:dyDescent="0.25">
      <c r="B299" s="23"/>
      <c r="C299" s="77"/>
      <c r="D299" s="77"/>
      <c r="E299" s="78"/>
      <c r="F299" s="81"/>
      <c r="G299" s="75"/>
      <c r="H299" s="81"/>
    </row>
    <row r="300" spans="2:8" ht="13.7" customHeight="1" x14ac:dyDescent="0.25">
      <c r="B300" s="23"/>
      <c r="C300" s="77" t="s">
        <v>12</v>
      </c>
      <c r="D300" s="251" t="str">
        <f>'Оборудование и материалы'!$A$91</f>
        <v>Провод СИП4 2х16 мм2</v>
      </c>
      <c r="E300" s="78" t="s">
        <v>8</v>
      </c>
      <c r="F300" s="79">
        <f>G11+G26+G42+G100+G115+G131</f>
        <v>5975</v>
      </c>
      <c r="G300" s="75"/>
      <c r="H300" s="246"/>
    </row>
    <row r="301" spans="2:8" ht="13.7" customHeight="1" x14ac:dyDescent="0.25">
      <c r="B301" s="23"/>
      <c r="C301" s="77" t="s">
        <v>22</v>
      </c>
      <c r="D301" s="77" t="str">
        <f>'Оборудование и материалы'!$A$92</f>
        <v>Провод СИП4 4х25 мм2</v>
      </c>
      <c r="E301" s="78" t="s">
        <v>8</v>
      </c>
      <c r="F301" s="79">
        <f>G58+G73+G89+G144+G159</f>
        <v>525</v>
      </c>
      <c r="G301" s="75"/>
      <c r="H301" s="246"/>
    </row>
    <row r="302" spans="2:8" ht="13.7" customHeight="1" x14ac:dyDescent="0.25">
      <c r="B302" s="23"/>
      <c r="C302" s="77" t="s">
        <v>69</v>
      </c>
      <c r="D302" s="77" t="str">
        <f>'Оборудование и материалы'!$A$93</f>
        <v xml:space="preserve">Кабель АВВГнг LS 2х16 мм2 </v>
      </c>
      <c r="E302" s="78" t="s">
        <v>8</v>
      </c>
      <c r="F302" s="79">
        <f>G27+G50+G116</f>
        <v>492</v>
      </c>
      <c r="G302" s="75"/>
      <c r="H302" s="246"/>
    </row>
    <row r="303" spans="2:8" ht="13.7" customHeight="1" x14ac:dyDescent="0.25">
      <c r="B303" s="23"/>
      <c r="C303" s="77" t="s">
        <v>69</v>
      </c>
      <c r="D303" s="77" t="str">
        <f>'Оборудование и материалы'!$A$94</f>
        <v xml:space="preserve">Кабель АВВГнг LS 4х25 мм2 </v>
      </c>
      <c r="E303" s="78" t="s">
        <v>8</v>
      </c>
      <c r="F303" s="79">
        <f>G74+G160+G208</f>
        <v>6</v>
      </c>
      <c r="G303" s="75"/>
      <c r="H303" s="246"/>
    </row>
    <row r="304" spans="2:8" ht="13.7" customHeight="1" x14ac:dyDescent="0.25">
      <c r="B304" s="23"/>
      <c r="C304" s="77" t="s">
        <v>68</v>
      </c>
      <c r="D304" s="77" t="str">
        <f>'Оборудование и материалы'!A98</f>
        <v>Кабель ВВГнг-LS 3*2,5</v>
      </c>
      <c r="E304" s="78" t="s">
        <v>8</v>
      </c>
      <c r="F304" s="79">
        <f>G209</f>
        <v>192</v>
      </c>
      <c r="G304" s="75"/>
      <c r="H304" s="246"/>
    </row>
    <row r="305" spans="2:8" ht="13.7" customHeight="1" x14ac:dyDescent="0.25">
      <c r="B305" s="23"/>
      <c r="C305" s="77" t="s">
        <v>68</v>
      </c>
      <c r="D305" s="77" t="str">
        <f>'Оборудование и материалы'!$A$96</f>
        <v xml:space="preserve">Кабель контрольный ВВГнг-LS 4*2,5 </v>
      </c>
      <c r="E305" s="78" t="s">
        <v>8</v>
      </c>
      <c r="F305" s="119">
        <f>G210</f>
        <v>128</v>
      </c>
      <c r="G305" s="75"/>
      <c r="H305" s="246"/>
    </row>
    <row r="306" spans="2:8" ht="13.7" customHeight="1" x14ac:dyDescent="0.25">
      <c r="B306" s="23"/>
      <c r="C306" s="77" t="s">
        <v>68</v>
      </c>
      <c r="D306" s="77" t="str">
        <f>'Оборудование и материалы'!$A$97</f>
        <v xml:space="preserve">Кабель контрольный КВВГнг-LS 7*2,5 </v>
      </c>
      <c r="E306" s="78" t="s">
        <v>8</v>
      </c>
      <c r="F306" s="79">
        <f>G211</f>
        <v>0</v>
      </c>
      <c r="G306" s="75"/>
      <c r="H306" s="246"/>
    </row>
    <row r="307" spans="2:8" ht="13.7" customHeight="1" x14ac:dyDescent="0.25">
      <c r="B307" s="23"/>
      <c r="C307" s="77" t="s">
        <v>53</v>
      </c>
      <c r="D307" s="77" t="str">
        <f>'Оборудование и материалы'!$A$100</f>
        <v xml:space="preserve">Кабель ПВ-1 1*2,5 </v>
      </c>
      <c r="E307" s="78" t="s">
        <v>8</v>
      </c>
      <c r="F307" s="79">
        <f>G212</f>
        <v>48</v>
      </c>
      <c r="G307" s="75"/>
      <c r="H307" s="246"/>
    </row>
    <row r="308" spans="2:8" ht="13.7" customHeight="1" x14ac:dyDescent="0.25">
      <c r="B308" s="23"/>
      <c r="C308" s="77" t="s">
        <v>144</v>
      </c>
      <c r="D308" s="77" t="str">
        <f>'Оборудование и материалы'!$A$101</f>
        <v>Кабель ПВ-3 1*10</v>
      </c>
      <c r="E308" s="78" t="s">
        <v>8</v>
      </c>
      <c r="F308" s="79">
        <f>G213</f>
        <v>80</v>
      </c>
      <c r="G308" s="75"/>
      <c r="H308" s="246"/>
    </row>
    <row r="309" spans="2:8" ht="13.7" customHeight="1" x14ac:dyDescent="0.25">
      <c r="B309" s="23"/>
      <c r="C309" s="77" t="s">
        <v>113</v>
      </c>
      <c r="D309" s="77" t="s">
        <v>114</v>
      </c>
      <c r="E309" s="78" t="s">
        <v>8</v>
      </c>
      <c r="F309" s="79">
        <f>G207</f>
        <v>72</v>
      </c>
      <c r="G309" s="75"/>
      <c r="H309" s="246"/>
    </row>
    <row r="310" spans="2:8" ht="13.7" customHeight="1" x14ac:dyDescent="0.25">
      <c r="B310" s="23"/>
      <c r="C310" s="77"/>
      <c r="D310" s="77"/>
      <c r="E310" s="78"/>
      <c r="F310" s="79"/>
      <c r="G310" s="75"/>
      <c r="H310" s="246"/>
    </row>
    <row r="311" spans="2:8" ht="13.7" customHeight="1" x14ac:dyDescent="0.25">
      <c r="B311" s="23"/>
      <c r="C311" s="77"/>
      <c r="D311" s="77"/>
      <c r="E311" s="78"/>
      <c r="F311" s="79"/>
      <c r="G311" s="75"/>
      <c r="H311" s="246"/>
    </row>
    <row r="312" spans="2:8" ht="13.7" customHeight="1" x14ac:dyDescent="0.25">
      <c r="B312" s="23"/>
      <c r="C312" s="236" t="s">
        <v>112</v>
      </c>
      <c r="D312" s="140" t="str">
        <f>'Оборудование и материалы'!$A$108</f>
        <v>Герметичный  прокалывающий зажим SLIW 50</v>
      </c>
      <c r="E312" s="78" t="s">
        <v>7</v>
      </c>
      <c r="F312" s="79"/>
      <c r="G312" s="75"/>
      <c r="H312" s="246"/>
    </row>
    <row r="313" spans="2:8" ht="13.7" customHeight="1" x14ac:dyDescent="0.25">
      <c r="B313" s="23"/>
      <c r="C313" s="236" t="s">
        <v>158</v>
      </c>
      <c r="D313" s="137" t="str">
        <f>'Оборудование и материалы'!$A$109</f>
        <v>Влагозащищенный прокалывающий зажим SLIP 12.1</v>
      </c>
      <c r="E313" s="78" t="s">
        <v>7</v>
      </c>
      <c r="F313" s="79">
        <f>G12+G28+G43+G59+G75+G90+G101+G117+G132+G145+G161</f>
        <v>562</v>
      </c>
      <c r="G313" s="75"/>
      <c r="H313" s="246"/>
    </row>
    <row r="314" spans="2:8" ht="13.7" customHeight="1" x14ac:dyDescent="0.25">
      <c r="B314" s="23"/>
      <c r="C314" s="236" t="s">
        <v>158</v>
      </c>
      <c r="D314" s="137" t="str">
        <f>'Оборудование и материалы'!$A$110</f>
        <v>Влагозащищенный прокалывающий зажим SLIP 12.127</v>
      </c>
      <c r="E314" s="78" t="s">
        <v>7</v>
      </c>
      <c r="F314" s="79">
        <f>G13+G29+G60+G76+G102+G118+G146+G162</f>
        <v>562</v>
      </c>
      <c r="G314" s="75"/>
      <c r="H314" s="246"/>
    </row>
    <row r="315" spans="2:8" ht="13.7" customHeight="1" x14ac:dyDescent="0.25">
      <c r="B315" s="23"/>
      <c r="C315" s="77" t="s">
        <v>13</v>
      </c>
      <c r="D315" s="77" t="str">
        <f>'Оборудование и материалы'!$A$111</f>
        <v>Анкерный зажим SO158.1</v>
      </c>
      <c r="E315" s="78" t="s">
        <v>7</v>
      </c>
      <c r="F315" s="79">
        <f>G14+G30+G61+G77+G103+G119+G147+G163</f>
        <v>520</v>
      </c>
      <c r="G315" s="75"/>
      <c r="H315" s="246"/>
    </row>
    <row r="316" spans="2:8" ht="13.7" customHeight="1" x14ac:dyDescent="0.25">
      <c r="B316" s="23"/>
      <c r="C316" s="77" t="s">
        <v>13</v>
      </c>
      <c r="D316" s="77" t="str">
        <f>'Оборудование и материалы'!$A$112</f>
        <v>Анкерный кронштейн SO253</v>
      </c>
      <c r="E316" s="78" t="s">
        <v>7</v>
      </c>
      <c r="F316" s="79">
        <f>G15+G31+G62+G78+G104+G120+G148+G164</f>
        <v>260</v>
      </c>
      <c r="G316" s="75"/>
      <c r="H316" s="246"/>
    </row>
    <row r="317" spans="2:8" ht="13.7" customHeight="1" x14ac:dyDescent="0.25">
      <c r="B317" s="23"/>
      <c r="C317" s="77" t="s">
        <v>14</v>
      </c>
      <c r="D317" s="77" t="str">
        <f>'Оборудование и материалы'!$A$113</f>
        <v>Крюк-болт  (Анкерный крюк) SOT16.12</v>
      </c>
      <c r="E317" s="78" t="s">
        <v>7</v>
      </c>
      <c r="F317" s="79">
        <f>G16+G32+G63+G79+G105+G121+G149+G165</f>
        <v>260</v>
      </c>
      <c r="G317" s="75"/>
      <c r="H317" s="246"/>
    </row>
    <row r="318" spans="2:8" ht="13.7" customHeight="1" x14ac:dyDescent="0.25">
      <c r="B318" s="23"/>
      <c r="C318" s="77" t="s">
        <v>15</v>
      </c>
      <c r="D318" s="77" t="str">
        <f>'Оборудование и материалы'!$A$114</f>
        <v>Монтажная стальная лента из нержавеющей стали  COT37</v>
      </c>
      <c r="E318" s="78" t="s">
        <v>7</v>
      </c>
      <c r="F318" s="79">
        <f>G17+G33+G64+G80+G91+G106+G122+G150+G166</f>
        <v>562</v>
      </c>
      <c r="G318" s="75"/>
      <c r="H318" s="246"/>
    </row>
    <row r="319" spans="2:8" ht="13.7" customHeight="1" x14ac:dyDescent="0.25">
      <c r="B319" s="23"/>
      <c r="C319" s="77" t="s">
        <v>9</v>
      </c>
      <c r="D319" s="77" t="str">
        <f>'Оборудование и материалы'!$A$115</f>
        <v>Скрепа COT36</v>
      </c>
      <c r="E319" s="78" t="s">
        <v>7</v>
      </c>
      <c r="F319" s="79">
        <f>G18+G34+G65+G81+G92+G107+G123+G151+G167</f>
        <v>562</v>
      </c>
      <c r="G319" s="75"/>
      <c r="H319" s="246"/>
    </row>
    <row r="320" spans="2:8" ht="13.7" customHeight="1" x14ac:dyDescent="0.25">
      <c r="B320" s="23"/>
      <c r="C320" s="23"/>
      <c r="D320" s="23"/>
      <c r="E320" s="23"/>
      <c r="F320" s="81"/>
      <c r="G320" s="75"/>
      <c r="H320" s="81"/>
    </row>
    <row r="321" spans="2:8" ht="13.7" customHeight="1" x14ac:dyDescent="0.25">
      <c r="B321" s="23"/>
      <c r="C321" s="23" t="s">
        <v>23</v>
      </c>
      <c r="D321" s="23" t="s">
        <v>51</v>
      </c>
      <c r="E321" s="23" t="s">
        <v>8</v>
      </c>
      <c r="F321" s="79"/>
      <c r="G321" s="75"/>
      <c r="H321" s="81"/>
    </row>
    <row r="322" spans="2:8" ht="13.7" customHeight="1" x14ac:dyDescent="0.25">
      <c r="B322" s="23"/>
      <c r="C322" s="23" t="s">
        <v>48</v>
      </c>
      <c r="D322" s="23" t="s">
        <v>51</v>
      </c>
      <c r="E322" s="23" t="s">
        <v>8</v>
      </c>
      <c r="F322" s="79">
        <f>G219</f>
        <v>128</v>
      </c>
      <c r="G322" s="75"/>
      <c r="H322" s="81"/>
    </row>
    <row r="323" spans="2:8" ht="13.7" customHeight="1" x14ac:dyDescent="0.25">
      <c r="B323" s="23"/>
      <c r="C323" s="23"/>
      <c r="D323" s="23"/>
      <c r="E323" s="23"/>
      <c r="F323" s="81"/>
      <c r="G323" s="75"/>
      <c r="H323" s="81"/>
    </row>
    <row r="324" spans="2:8" ht="13.7" customHeight="1" x14ac:dyDescent="0.25">
      <c r="B324" s="23"/>
      <c r="C324" s="23" t="s">
        <v>140</v>
      </c>
      <c r="D324" s="139" t="s">
        <v>141</v>
      </c>
      <c r="E324" s="23" t="s">
        <v>7</v>
      </c>
      <c r="F324" s="79"/>
      <c r="G324" s="75"/>
      <c r="H324" s="81"/>
    </row>
    <row r="325" spans="2:8" ht="13.7" customHeight="1" x14ac:dyDescent="0.25">
      <c r="B325" s="23"/>
      <c r="C325" s="23" t="s">
        <v>70</v>
      </c>
      <c r="D325" s="139" t="s">
        <v>71</v>
      </c>
      <c r="E325" s="23" t="s">
        <v>7</v>
      </c>
      <c r="F325" s="79"/>
      <c r="G325" s="75"/>
      <c r="H325" s="81"/>
    </row>
    <row r="326" spans="2:8" ht="13.7" customHeight="1" x14ac:dyDescent="0.25">
      <c r="B326" s="23"/>
      <c r="C326" s="23" t="s">
        <v>130</v>
      </c>
      <c r="D326" s="139" t="s">
        <v>130</v>
      </c>
      <c r="E326" s="23" t="s">
        <v>7</v>
      </c>
      <c r="F326" s="79">
        <f>G223</f>
        <v>96</v>
      </c>
      <c r="G326" s="75"/>
      <c r="H326" s="81"/>
    </row>
    <row r="327" spans="2:8" ht="13.7" customHeight="1" x14ac:dyDescent="0.25">
      <c r="B327" s="23"/>
      <c r="C327" s="23" t="s">
        <v>129</v>
      </c>
      <c r="D327" s="139" t="s">
        <v>145</v>
      </c>
      <c r="E327" s="23" t="s">
        <v>7</v>
      </c>
      <c r="F327" s="79">
        <f>G225</f>
        <v>16</v>
      </c>
      <c r="G327" s="75"/>
      <c r="H327" s="81"/>
    </row>
    <row r="328" spans="2:8" ht="13.7" customHeight="1" x14ac:dyDescent="0.25">
      <c r="B328" s="23"/>
      <c r="C328" s="23" t="s">
        <v>129</v>
      </c>
      <c r="D328" s="139" t="s">
        <v>160</v>
      </c>
      <c r="E328" s="23" t="s">
        <v>7</v>
      </c>
      <c r="F328" s="79">
        <f>G226</f>
        <v>0</v>
      </c>
      <c r="G328" s="75"/>
      <c r="H328" s="81"/>
    </row>
    <row r="329" spans="2:8" ht="13.7" customHeight="1" x14ac:dyDescent="0.25">
      <c r="B329" s="23"/>
      <c r="C329" s="23"/>
      <c r="D329" s="120"/>
      <c r="E329" s="23"/>
      <c r="F329" s="81"/>
      <c r="G329" s="75"/>
      <c r="H329" s="81"/>
    </row>
    <row r="330" spans="2:8" ht="13.7" customHeight="1" x14ac:dyDescent="0.25">
      <c r="B330" s="23"/>
      <c r="C330" s="23" t="s">
        <v>32</v>
      </c>
      <c r="D330" s="23" t="s">
        <v>52</v>
      </c>
      <c r="E330" s="23" t="s">
        <v>7</v>
      </c>
      <c r="F330" s="79"/>
      <c r="G330" s="75"/>
      <c r="H330" s="81"/>
    </row>
    <row r="331" spans="2:8" ht="13.7" customHeight="1" x14ac:dyDescent="0.25">
      <c r="B331" s="23"/>
      <c r="C331" s="23" t="s">
        <v>58</v>
      </c>
      <c r="D331" s="23" t="s">
        <v>155</v>
      </c>
      <c r="E331" s="23" t="s">
        <v>7</v>
      </c>
      <c r="F331" s="79">
        <f>G193</f>
        <v>16</v>
      </c>
      <c r="G331" s="75"/>
      <c r="H331" s="81"/>
    </row>
    <row r="332" spans="2:8" ht="13.7" customHeight="1" x14ac:dyDescent="0.25">
      <c r="B332" s="23"/>
      <c r="C332" s="23" t="s">
        <v>42</v>
      </c>
      <c r="D332" s="23" t="s">
        <v>49</v>
      </c>
      <c r="E332" s="23" t="s">
        <v>7</v>
      </c>
      <c r="F332" s="79">
        <f>G217</f>
        <v>16</v>
      </c>
      <c r="G332" s="75"/>
      <c r="H332" s="81"/>
    </row>
    <row r="333" spans="2:8" ht="13.7" customHeight="1" x14ac:dyDescent="0.25">
      <c r="B333" s="23">
        <v>13.75</v>
      </c>
      <c r="C333" s="23" t="s">
        <v>43</v>
      </c>
      <c r="D333" s="23" t="s">
        <v>43</v>
      </c>
      <c r="E333" s="23" t="s">
        <v>7</v>
      </c>
      <c r="F333" s="79">
        <f>G218</f>
        <v>8</v>
      </c>
      <c r="G333" s="75"/>
      <c r="H333" s="81"/>
    </row>
    <row r="334" spans="2:8" ht="13.7" customHeight="1" x14ac:dyDescent="0.25">
      <c r="B334" s="23"/>
      <c r="C334" s="23"/>
      <c r="D334" s="23"/>
      <c r="E334" s="23"/>
      <c r="F334" s="81"/>
      <c r="G334" s="75"/>
      <c r="H334" s="81"/>
    </row>
    <row r="335" spans="2:8" ht="13.7" customHeight="1" x14ac:dyDescent="0.25">
      <c r="B335" s="23"/>
      <c r="C335" s="23" t="s">
        <v>44</v>
      </c>
      <c r="D335" s="23" t="s">
        <v>50</v>
      </c>
      <c r="E335" s="23" t="s">
        <v>7</v>
      </c>
      <c r="F335" s="79">
        <f>G220</f>
        <v>8</v>
      </c>
      <c r="G335" s="75"/>
      <c r="H335" s="81"/>
    </row>
    <row r="336" spans="2:8" ht="13.7" customHeight="1" x14ac:dyDescent="0.25">
      <c r="B336" s="23"/>
      <c r="C336" s="23" t="s">
        <v>57</v>
      </c>
      <c r="D336" s="23" t="s">
        <v>75</v>
      </c>
      <c r="E336" s="23" t="s">
        <v>7</v>
      </c>
      <c r="F336" s="79"/>
      <c r="G336" s="75"/>
      <c r="H336" s="81"/>
    </row>
    <row r="337" spans="2:8" ht="13.7" customHeight="1" x14ac:dyDescent="0.25">
      <c r="B337" s="23"/>
      <c r="C337" s="23"/>
      <c r="D337" s="23"/>
      <c r="E337" s="23"/>
      <c r="F337" s="81"/>
      <c r="G337" s="45"/>
      <c r="H337" s="81"/>
    </row>
    <row r="338" spans="2:8" ht="13.7" customHeight="1" x14ac:dyDescent="0.25">
      <c r="B338" s="23"/>
      <c r="C338" s="23"/>
      <c r="D338" s="23"/>
      <c r="E338" s="23"/>
      <c r="F338" s="81"/>
      <c r="G338" s="45"/>
      <c r="H338" s="81"/>
    </row>
    <row r="339" spans="2:8" ht="13.7" customHeight="1" x14ac:dyDescent="0.25"/>
    <row r="340" spans="2:8" ht="13.7" customHeight="1" x14ac:dyDescent="0.25"/>
    <row r="341" spans="2:8" ht="13.7" customHeight="1" x14ac:dyDescent="0.25"/>
    <row r="342" spans="2:8" ht="13.7" customHeight="1" x14ac:dyDescent="0.25"/>
  </sheetData>
  <mergeCells count="11">
    <mergeCell ref="G5:G6"/>
    <mergeCell ref="H5:H6"/>
    <mergeCell ref="A7:H7"/>
    <mergeCell ref="B265:H265"/>
    <mergeCell ref="C298:D298"/>
    <mergeCell ref="A5:A6"/>
    <mergeCell ref="B5:B6"/>
    <mergeCell ref="C5:C6"/>
    <mergeCell ref="D5:D6"/>
    <mergeCell ref="E5:E6"/>
    <mergeCell ref="F5:F6"/>
  </mergeCells>
  <pageMargins left="0.3543307086614173" right="0.3543307086614173" top="0.23622047244094488" bottom="0.39370078740157483" header="0.15748031496062992" footer="0.31496062992125984"/>
  <pageSetup paperSize="9" scale="51" fitToHeight="0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H120"/>
  <sheetViews>
    <sheetView tabSelected="1" zoomScaleNormal="100" zoomScaleSheetLayoutView="100" workbookViewId="0">
      <selection activeCell="H11" sqref="H11:H12"/>
    </sheetView>
  </sheetViews>
  <sheetFormatPr defaultRowHeight="15" x14ac:dyDescent="0.25"/>
  <cols>
    <col min="1" max="1" width="4.625" style="243" customWidth="1"/>
    <col min="2" max="2" width="5" style="243" customWidth="1"/>
    <col min="3" max="3" width="41" style="243" customWidth="1"/>
    <col min="4" max="4" width="82" style="243" customWidth="1"/>
    <col min="5" max="5" width="4.75" style="243" customWidth="1"/>
    <col min="6" max="6" width="16.25" style="83" customWidth="1"/>
    <col min="7" max="7" width="10.25" style="243" customWidth="1"/>
    <col min="8" max="8" width="14.625" style="243" customWidth="1"/>
    <col min="9" max="16384" width="9" style="243"/>
  </cols>
  <sheetData>
    <row r="1" spans="1:8" ht="20.25" x14ac:dyDescent="0.25">
      <c r="B1" s="44"/>
      <c r="C1" s="44"/>
      <c r="E1" s="244"/>
      <c r="F1" s="244" t="s">
        <v>437</v>
      </c>
      <c r="G1" s="244"/>
      <c r="H1" s="244"/>
    </row>
    <row r="2" spans="1:8" ht="20.25" x14ac:dyDescent="0.25">
      <c r="B2" s="44"/>
      <c r="C2" s="44"/>
      <c r="E2" s="244"/>
      <c r="F2" s="244"/>
      <c r="G2" s="244"/>
      <c r="H2" s="244"/>
    </row>
    <row r="3" spans="1:8" ht="18.75" x14ac:dyDescent="0.3">
      <c r="B3" s="44"/>
      <c r="C3" s="44"/>
      <c r="D3" s="234" t="s">
        <v>468</v>
      </c>
      <c r="H3" s="84"/>
    </row>
    <row r="4" spans="1:8" x14ac:dyDescent="0.25">
      <c r="A4" s="46"/>
    </row>
    <row r="5" spans="1:8" ht="34.5" customHeight="1" x14ac:dyDescent="0.25">
      <c r="A5" s="262" t="s">
        <v>10</v>
      </c>
      <c r="B5" s="262" t="s">
        <v>0</v>
      </c>
      <c r="C5" s="262" t="s">
        <v>1</v>
      </c>
      <c r="D5" s="262" t="s">
        <v>2</v>
      </c>
      <c r="E5" s="262" t="s">
        <v>11</v>
      </c>
      <c r="F5" s="266" t="s">
        <v>17</v>
      </c>
      <c r="G5" s="262" t="s">
        <v>3</v>
      </c>
      <c r="H5" s="262" t="s">
        <v>4</v>
      </c>
    </row>
    <row r="6" spans="1:8" ht="29.25" customHeight="1" x14ac:dyDescent="0.25">
      <c r="A6" s="262"/>
      <c r="B6" s="262"/>
      <c r="C6" s="262"/>
      <c r="D6" s="262"/>
      <c r="E6" s="262"/>
      <c r="F6" s="267"/>
      <c r="G6" s="262"/>
      <c r="H6" s="262"/>
    </row>
    <row r="7" spans="1:8" ht="19.5" customHeight="1" x14ac:dyDescent="0.25">
      <c r="A7" s="268" t="s">
        <v>456</v>
      </c>
      <c r="B7" s="268"/>
      <c r="C7" s="268"/>
      <c r="D7" s="268"/>
      <c r="E7" s="268"/>
      <c r="F7" s="268"/>
      <c r="G7" s="268"/>
      <c r="H7" s="268"/>
    </row>
    <row r="8" spans="1:8" ht="13.7" customHeight="1" x14ac:dyDescent="0.25">
      <c r="A8" s="47"/>
      <c r="B8" s="47"/>
      <c r="C8" s="48" t="s">
        <v>457</v>
      </c>
      <c r="D8" s="47"/>
      <c r="E8" s="47"/>
      <c r="F8" s="66"/>
      <c r="G8" s="47"/>
      <c r="H8" s="47"/>
    </row>
    <row r="9" spans="1:8" ht="13.7" customHeight="1" x14ac:dyDescent="0.25">
      <c r="A9" s="49"/>
      <c r="B9" s="50"/>
      <c r="C9" s="175"/>
      <c r="D9" s="165"/>
      <c r="E9" s="50"/>
      <c r="F9" s="138"/>
      <c r="G9" s="50"/>
      <c r="H9" s="51"/>
    </row>
    <row r="10" spans="1:8" x14ac:dyDescent="0.25">
      <c r="A10" s="52"/>
      <c r="B10" s="52"/>
      <c r="C10" s="21" t="s">
        <v>465</v>
      </c>
      <c r="D10" s="123" t="s">
        <v>463</v>
      </c>
      <c r="E10" s="233" t="s">
        <v>7</v>
      </c>
      <c r="F10" s="64">
        <v>473268.46</v>
      </c>
      <c r="G10" s="245">
        <v>9</v>
      </c>
      <c r="H10" s="64">
        <f>F10*G10</f>
        <v>4259416.1400000006</v>
      </c>
    </row>
    <row r="11" spans="1:8" x14ac:dyDescent="0.25">
      <c r="A11" s="52"/>
      <c r="B11" s="52"/>
      <c r="C11" s="21" t="s">
        <v>466</v>
      </c>
      <c r="D11" s="123" t="s">
        <v>463</v>
      </c>
      <c r="E11" s="233" t="s">
        <v>7</v>
      </c>
      <c r="F11" s="64">
        <v>369599.31</v>
      </c>
      <c r="G11" s="245">
        <v>10</v>
      </c>
      <c r="H11" s="64">
        <f t="shared" ref="H11:H21" si="0">F11*G11</f>
        <v>3695993.1</v>
      </c>
    </row>
    <row r="12" spans="1:8" x14ac:dyDescent="0.25">
      <c r="A12" s="52"/>
      <c r="B12" s="52"/>
      <c r="C12" s="21" t="s">
        <v>471</v>
      </c>
      <c r="D12" s="123" t="s">
        <v>472</v>
      </c>
      <c r="E12" s="233" t="s">
        <v>8</v>
      </c>
      <c r="F12" s="64">
        <f>73.73/1.18</f>
        <v>62.483050847457633</v>
      </c>
      <c r="G12" s="245">
        <f>30*19</f>
        <v>570</v>
      </c>
      <c r="H12" s="64">
        <f t="shared" si="0"/>
        <v>35615.338983050853</v>
      </c>
    </row>
    <row r="13" spans="1:8" ht="13.7" customHeight="1" x14ac:dyDescent="0.25">
      <c r="A13" s="59"/>
      <c r="B13" s="59"/>
      <c r="C13" s="8" t="s">
        <v>458</v>
      </c>
      <c r="D13" s="7" t="s">
        <v>458</v>
      </c>
      <c r="E13" s="24" t="s">
        <v>7</v>
      </c>
      <c r="F13" s="60">
        <f>11445.87/1.18</f>
        <v>9699.8898305084749</v>
      </c>
      <c r="G13" s="24">
        <v>38</v>
      </c>
      <c r="H13" s="64">
        <f t="shared" si="0"/>
        <v>368595.81355932204</v>
      </c>
    </row>
    <row r="14" spans="1:8" ht="13.7" customHeight="1" x14ac:dyDescent="0.25">
      <c r="A14" s="59"/>
      <c r="B14" s="59"/>
      <c r="C14" s="8" t="s">
        <v>460</v>
      </c>
      <c r="D14" s="7" t="s">
        <v>460</v>
      </c>
      <c r="E14" s="24" t="s">
        <v>7</v>
      </c>
      <c r="F14" s="60">
        <f>783.84/1.18</f>
        <v>664.27118644067798</v>
      </c>
      <c r="G14" s="24">
        <v>19</v>
      </c>
      <c r="H14" s="64">
        <f t="shared" si="0"/>
        <v>12621.152542372882</v>
      </c>
    </row>
    <row r="15" spans="1:8" ht="13.7" customHeight="1" x14ac:dyDescent="0.25">
      <c r="A15" s="59"/>
      <c r="B15" s="59"/>
      <c r="C15" s="8" t="s">
        <v>459</v>
      </c>
      <c r="D15" s="7" t="s">
        <v>459</v>
      </c>
      <c r="E15" s="24" t="s">
        <v>467</v>
      </c>
      <c r="F15" s="60">
        <f>63409.26/1.18</f>
        <v>53736.661016949154</v>
      </c>
      <c r="G15" s="24">
        <v>7.5999999999999998E-2</v>
      </c>
      <c r="H15" s="64">
        <f t="shared" si="0"/>
        <v>4083.9862372881357</v>
      </c>
    </row>
    <row r="16" spans="1:8" ht="13.7" customHeight="1" x14ac:dyDescent="0.25">
      <c r="A16" s="59"/>
      <c r="B16" s="59"/>
      <c r="C16" s="8" t="s">
        <v>461</v>
      </c>
      <c r="D16" s="7" t="s">
        <v>461</v>
      </c>
      <c r="E16" s="24" t="s">
        <v>467</v>
      </c>
      <c r="F16" s="60">
        <f>63302.33/1.18</f>
        <v>53646.042372881362</v>
      </c>
      <c r="G16" s="24">
        <v>3.7999999999999999E-2</v>
      </c>
      <c r="H16" s="64">
        <f t="shared" si="0"/>
        <v>2038.5496101694916</v>
      </c>
    </row>
    <row r="17" spans="1:8" ht="13.7" customHeight="1" x14ac:dyDescent="0.25">
      <c r="A17" s="59"/>
      <c r="B17" s="59"/>
      <c r="C17" s="8" t="s">
        <v>464</v>
      </c>
      <c r="D17" s="7" t="s">
        <v>462</v>
      </c>
      <c r="E17" s="24" t="s">
        <v>8</v>
      </c>
      <c r="F17" s="60">
        <f>29.7/1.18</f>
        <v>25.16949152542373</v>
      </c>
      <c r="G17" s="24">
        <f>6*19</f>
        <v>114</v>
      </c>
      <c r="H17" s="64">
        <f t="shared" si="0"/>
        <v>2869.3220338983051</v>
      </c>
    </row>
    <row r="18" spans="1:8" ht="13.7" customHeight="1" x14ac:dyDescent="0.25">
      <c r="A18" s="59"/>
      <c r="B18" s="59"/>
      <c r="C18" s="8" t="s">
        <v>469</v>
      </c>
      <c r="D18" s="7" t="s">
        <v>470</v>
      </c>
      <c r="E18" s="24" t="s">
        <v>8</v>
      </c>
      <c r="F18" s="60">
        <f>360.44/1.18</f>
        <v>305.4576271186441</v>
      </c>
      <c r="G18" s="24">
        <f>8*19</f>
        <v>152</v>
      </c>
      <c r="H18" s="64">
        <f t="shared" si="0"/>
        <v>46429.5593220339</v>
      </c>
    </row>
    <row r="19" spans="1:8" ht="13.7" customHeight="1" x14ac:dyDescent="0.25">
      <c r="A19" s="59"/>
      <c r="B19" s="59"/>
      <c r="C19" s="8" t="s">
        <v>133</v>
      </c>
      <c r="D19" s="7" t="s">
        <v>135</v>
      </c>
      <c r="E19" s="24" t="s">
        <v>7</v>
      </c>
      <c r="F19" s="60">
        <v>11.22</v>
      </c>
      <c r="G19" s="24">
        <v>19</v>
      </c>
      <c r="H19" s="64">
        <f t="shared" si="0"/>
        <v>213.18</v>
      </c>
    </row>
    <row r="20" spans="1:8" ht="13.7" customHeight="1" x14ac:dyDescent="0.25">
      <c r="A20" s="59"/>
      <c r="B20" s="59"/>
      <c r="C20" s="8" t="s">
        <v>61</v>
      </c>
      <c r="D20" s="7" t="s">
        <v>61</v>
      </c>
      <c r="E20" s="24" t="s">
        <v>8</v>
      </c>
      <c r="F20" s="60">
        <v>2.66</v>
      </c>
      <c r="G20" s="24">
        <f>19/2</f>
        <v>9.5</v>
      </c>
      <c r="H20" s="64">
        <f t="shared" si="0"/>
        <v>25.270000000000003</v>
      </c>
    </row>
    <row r="21" spans="1:8" ht="13.7" customHeight="1" x14ac:dyDescent="0.25">
      <c r="A21" s="59"/>
      <c r="B21" s="59"/>
      <c r="C21" s="8"/>
      <c r="D21" s="7"/>
      <c r="E21" s="24"/>
      <c r="F21" s="60"/>
      <c r="G21" s="24"/>
      <c r="H21" s="64">
        <f t="shared" si="0"/>
        <v>0</v>
      </c>
    </row>
    <row r="22" spans="1:8" ht="13.7" customHeight="1" x14ac:dyDescent="0.25">
      <c r="A22" s="59"/>
      <c r="B22" s="59"/>
      <c r="C22" s="8"/>
      <c r="D22" s="7"/>
      <c r="E22" s="24"/>
      <c r="F22" s="60"/>
      <c r="G22" s="24"/>
      <c r="H22" s="60"/>
    </row>
    <row r="23" spans="1:8" ht="13.7" customHeight="1" x14ac:dyDescent="0.25">
      <c r="A23" s="59"/>
      <c r="B23" s="59"/>
      <c r="C23" s="8"/>
      <c r="D23" s="7"/>
      <c r="E23" s="24"/>
      <c r="F23" s="60"/>
      <c r="G23" s="24"/>
      <c r="H23" s="60"/>
    </row>
    <row r="24" spans="1:8" ht="13.7" customHeight="1" x14ac:dyDescent="0.25">
      <c r="A24" s="59"/>
      <c r="B24" s="59"/>
      <c r="C24" s="8"/>
      <c r="D24" s="7"/>
      <c r="E24" s="24"/>
      <c r="F24" s="60"/>
      <c r="G24" s="24"/>
      <c r="H24" s="60"/>
    </row>
    <row r="25" spans="1:8" ht="13.7" customHeight="1" x14ac:dyDescent="0.25">
      <c r="A25" s="59"/>
      <c r="B25" s="59"/>
      <c r="C25" s="8"/>
      <c r="D25" s="7"/>
      <c r="E25" s="24"/>
      <c r="F25" s="60"/>
      <c r="G25" s="24"/>
      <c r="H25" s="60"/>
    </row>
    <row r="26" spans="1:8" ht="13.7" customHeight="1" x14ac:dyDescent="0.25">
      <c r="A26" s="59"/>
      <c r="B26" s="59"/>
      <c r="C26" s="8"/>
      <c r="D26" s="7"/>
      <c r="E26" s="24"/>
      <c r="F26" s="60"/>
      <c r="G26" s="24"/>
      <c r="H26" s="60"/>
    </row>
    <row r="27" spans="1:8" ht="13.7" customHeight="1" x14ac:dyDescent="0.25">
      <c r="A27" s="59"/>
      <c r="B27" s="59"/>
      <c r="C27" s="8"/>
      <c r="D27" s="14" t="s">
        <v>62</v>
      </c>
      <c r="E27" s="24"/>
      <c r="F27" s="60"/>
      <c r="G27" s="24"/>
      <c r="H27" s="60">
        <f>H10+H11</f>
        <v>7955409.2400000002</v>
      </c>
    </row>
    <row r="28" spans="1:8" ht="13.7" customHeight="1" x14ac:dyDescent="0.25">
      <c r="A28" s="59"/>
      <c r="B28" s="59"/>
      <c r="C28" s="8"/>
      <c r="D28" s="117" t="s">
        <v>107</v>
      </c>
      <c r="E28" s="24"/>
      <c r="F28" s="60"/>
      <c r="G28" s="24"/>
      <c r="H28" s="60">
        <f>SUM(H13:H20)</f>
        <v>436876.83330508479</v>
      </c>
    </row>
    <row r="29" spans="1:8" ht="13.7" customHeight="1" x14ac:dyDescent="0.25">
      <c r="A29" s="59"/>
      <c r="B29" s="59"/>
      <c r="C29" s="8"/>
      <c r="D29" s="15" t="s">
        <v>131</v>
      </c>
      <c r="E29" s="24"/>
      <c r="F29" s="60"/>
      <c r="G29" s="131">
        <v>19</v>
      </c>
      <c r="H29" s="132">
        <f>F29*G29</f>
        <v>0</v>
      </c>
    </row>
    <row r="30" spans="1:8" x14ac:dyDescent="0.25">
      <c r="A30" s="52"/>
      <c r="B30" s="52"/>
      <c r="C30" s="21"/>
      <c r="D30" s="15"/>
      <c r="E30" s="16"/>
      <c r="F30" s="86"/>
      <c r="G30" s="233"/>
      <c r="H30" s="64"/>
    </row>
    <row r="31" spans="1:8" s="242" customFormat="1" x14ac:dyDescent="0.25">
      <c r="A31" s="52"/>
      <c r="B31" s="52"/>
      <c r="C31" s="21"/>
      <c r="D31" s="15"/>
      <c r="E31" s="52"/>
      <c r="F31" s="86"/>
      <c r="G31" s="233"/>
      <c r="H31" s="64"/>
    </row>
    <row r="32" spans="1:8" s="242" customFormat="1" x14ac:dyDescent="0.25">
      <c r="A32" s="52"/>
      <c r="B32" s="52"/>
      <c r="C32" s="21"/>
      <c r="D32" s="15" t="s">
        <v>64</v>
      </c>
      <c r="E32" s="52"/>
      <c r="F32" s="86"/>
      <c r="G32" s="233"/>
      <c r="H32" s="53">
        <f>H27</f>
        <v>7955409.2400000002</v>
      </c>
    </row>
    <row r="33" spans="1:8" s="242" customFormat="1" x14ac:dyDescent="0.25">
      <c r="A33" s="52"/>
      <c r="B33" s="52"/>
      <c r="C33" s="21"/>
      <c r="D33" s="15" t="s">
        <v>128</v>
      </c>
      <c r="E33" s="233"/>
      <c r="F33" s="86"/>
      <c r="G33" s="233"/>
      <c r="H33" s="53">
        <f>H28</f>
        <v>436876.83330508479</v>
      </c>
    </row>
    <row r="34" spans="1:8" s="242" customFormat="1" x14ac:dyDescent="0.25">
      <c r="A34" s="52"/>
      <c r="B34" s="52"/>
      <c r="C34" s="21"/>
      <c r="D34" s="15" t="s">
        <v>65</v>
      </c>
      <c r="E34" s="233"/>
      <c r="F34" s="86"/>
      <c r="G34" s="233"/>
      <c r="H34" s="53">
        <f>H29</f>
        <v>0</v>
      </c>
    </row>
    <row r="35" spans="1:8" s="242" customFormat="1" x14ac:dyDescent="0.25">
      <c r="A35" s="52"/>
      <c r="B35" s="52"/>
      <c r="C35" s="21"/>
      <c r="D35" s="72" t="s">
        <v>63</v>
      </c>
      <c r="E35" s="52"/>
      <c r="F35" s="53"/>
      <c r="G35" s="233"/>
      <c r="H35" s="135">
        <f>H32+H33+H34</f>
        <v>8392286.0733050853</v>
      </c>
    </row>
    <row r="36" spans="1:8" s="242" customFormat="1" ht="16.5" customHeight="1" x14ac:dyDescent="0.25">
      <c r="A36" s="73"/>
      <c r="B36" s="73"/>
      <c r="C36" s="73"/>
      <c r="D36" s="15" t="s">
        <v>66</v>
      </c>
      <c r="E36" s="73"/>
      <c r="F36" s="94"/>
      <c r="G36" s="94"/>
      <c r="H36" s="126"/>
    </row>
    <row r="37" spans="1:8" s="242" customFormat="1" x14ac:dyDescent="0.25">
      <c r="A37" s="52"/>
      <c r="B37" s="52"/>
      <c r="C37" s="21"/>
      <c r="D37" s="15" t="s">
        <v>67</v>
      </c>
      <c r="E37" s="233"/>
      <c r="F37" s="53"/>
      <c r="G37" s="233"/>
      <c r="H37" s="87">
        <f>H35+H36</f>
        <v>8392286.0733050853</v>
      </c>
    </row>
    <row r="38" spans="1:8" s="242" customFormat="1" x14ac:dyDescent="0.25">
      <c r="A38" s="235"/>
      <c r="B38" s="235"/>
      <c r="C38" s="236"/>
      <c r="D38" s="236"/>
      <c r="E38" s="237"/>
      <c r="F38" s="88"/>
      <c r="G38" s="76"/>
      <c r="H38" s="74"/>
    </row>
    <row r="39" spans="1:8" s="242" customFormat="1" x14ac:dyDescent="0.25">
      <c r="A39" s="235"/>
      <c r="B39" s="235"/>
      <c r="C39" s="236"/>
      <c r="D39" s="236"/>
      <c r="E39" s="237"/>
      <c r="F39" s="240"/>
      <c r="H39" s="238"/>
    </row>
    <row r="40" spans="1:8" s="242" customFormat="1" x14ac:dyDescent="0.25">
      <c r="A40" s="235"/>
      <c r="B40" s="235"/>
      <c r="C40" s="236"/>
      <c r="D40" s="236"/>
      <c r="E40" s="237"/>
      <c r="F40" s="240"/>
      <c r="H40" s="238"/>
    </row>
    <row r="41" spans="1:8" s="242" customFormat="1" x14ac:dyDescent="0.25">
      <c r="A41" s="235"/>
      <c r="B41" s="235"/>
      <c r="C41" s="236"/>
      <c r="D41" s="236"/>
      <c r="E41" s="237"/>
      <c r="F41" s="240"/>
      <c r="H41" s="238"/>
    </row>
    <row r="42" spans="1:8" s="242" customFormat="1" x14ac:dyDescent="0.25">
      <c r="A42" s="235"/>
      <c r="B42" s="235"/>
      <c r="C42" s="236"/>
      <c r="D42" s="236"/>
      <c r="E42" s="237"/>
      <c r="F42" s="240"/>
      <c r="G42" s="240"/>
      <c r="H42" s="238"/>
    </row>
    <row r="43" spans="1:8" s="242" customFormat="1" x14ac:dyDescent="0.25">
      <c r="A43" s="235"/>
      <c r="B43" s="264"/>
      <c r="C43" s="264"/>
      <c r="D43" s="264"/>
      <c r="E43" s="264"/>
      <c r="F43" s="264"/>
      <c r="G43" s="264"/>
      <c r="H43" s="264"/>
    </row>
    <row r="44" spans="1:8" s="242" customFormat="1" x14ac:dyDescent="0.25">
      <c r="A44" s="235"/>
      <c r="B44" s="235"/>
      <c r="C44" s="254"/>
      <c r="D44" s="254"/>
      <c r="E44" s="235"/>
      <c r="F44" s="235"/>
      <c r="G44" s="152"/>
      <c r="H44" s="80"/>
    </row>
    <row r="45" spans="1:8" s="242" customFormat="1" ht="13.7" customHeight="1" x14ac:dyDescent="0.25">
      <c r="A45" s="235"/>
      <c r="B45" s="235"/>
      <c r="C45" s="239"/>
      <c r="D45" s="127"/>
      <c r="E45" s="235"/>
      <c r="F45" s="75"/>
      <c r="G45" s="75"/>
      <c r="H45" s="247"/>
    </row>
    <row r="46" spans="1:8" s="242" customFormat="1" ht="13.7" customHeight="1" x14ac:dyDescent="0.25">
      <c r="A46" s="235"/>
      <c r="B46" s="235"/>
      <c r="C46" s="239"/>
      <c r="D46" s="127"/>
      <c r="E46" s="235"/>
      <c r="F46" s="75"/>
      <c r="G46" s="75"/>
      <c r="H46" s="247"/>
    </row>
    <row r="47" spans="1:8" s="242" customFormat="1" ht="13.7" customHeight="1" x14ac:dyDescent="0.25">
      <c r="A47" s="235"/>
      <c r="B47" s="235"/>
      <c r="C47" s="239"/>
      <c r="D47" s="127"/>
      <c r="E47" s="235"/>
      <c r="F47" s="152"/>
      <c r="G47" s="75"/>
      <c r="H47" s="247"/>
    </row>
    <row r="48" spans="1:8" s="242" customFormat="1" ht="13.7" customHeight="1" x14ac:dyDescent="0.25">
      <c r="A48" s="235"/>
      <c r="B48" s="235"/>
      <c r="C48" s="239"/>
      <c r="D48" s="127"/>
      <c r="E48" s="235"/>
      <c r="F48" s="152"/>
      <c r="G48" s="75"/>
      <c r="H48" s="248"/>
    </row>
    <row r="49" spans="1:8" s="242" customFormat="1" ht="13.7" customHeight="1" x14ac:dyDescent="0.25">
      <c r="A49" s="235"/>
      <c r="B49" s="71"/>
      <c r="C49" s="239"/>
      <c r="D49" s="127"/>
      <c r="E49" s="235"/>
      <c r="F49" s="118"/>
      <c r="G49" s="75"/>
      <c r="H49" s="249"/>
    </row>
    <row r="50" spans="1:8" s="242" customFormat="1" ht="13.7" customHeight="1" x14ac:dyDescent="0.25">
      <c r="A50" s="76"/>
      <c r="B50" s="23"/>
      <c r="C50" s="239"/>
      <c r="D50" s="127"/>
      <c r="E50" s="235"/>
      <c r="F50" s="79"/>
      <c r="G50" s="75"/>
      <c r="H50" s="246"/>
    </row>
    <row r="51" spans="1:8" s="242" customFormat="1" ht="13.7" customHeight="1" x14ac:dyDescent="0.25">
      <c r="A51" s="76"/>
      <c r="B51" s="23"/>
      <c r="C51" s="239"/>
      <c r="D51" s="127"/>
      <c r="E51" s="235"/>
      <c r="F51" s="79"/>
      <c r="G51" s="75"/>
      <c r="H51" s="246"/>
    </row>
    <row r="52" spans="1:8" s="242" customFormat="1" ht="13.7" customHeight="1" x14ac:dyDescent="0.25">
      <c r="A52" s="76"/>
      <c r="B52" s="23"/>
      <c r="C52" s="239"/>
      <c r="D52" s="127"/>
      <c r="E52" s="235"/>
      <c r="F52" s="79"/>
      <c r="G52" s="75"/>
      <c r="H52" s="246"/>
    </row>
    <row r="53" spans="1:8" s="242" customFormat="1" ht="13.7" customHeight="1" x14ac:dyDescent="0.25">
      <c r="A53" s="76"/>
      <c r="B53" s="23"/>
      <c r="C53" s="239"/>
      <c r="D53" s="127"/>
      <c r="E53" s="235"/>
      <c r="F53" s="79"/>
      <c r="G53" s="75"/>
      <c r="H53" s="246"/>
    </row>
    <row r="54" spans="1:8" s="242" customFormat="1" ht="13.7" customHeight="1" x14ac:dyDescent="0.25">
      <c r="B54" s="23"/>
      <c r="C54" s="239"/>
      <c r="D54" s="127"/>
      <c r="E54" s="235"/>
      <c r="F54" s="79"/>
      <c r="G54" s="75"/>
      <c r="H54" s="246"/>
    </row>
    <row r="55" spans="1:8" ht="13.7" customHeight="1" x14ac:dyDescent="0.25">
      <c r="B55" s="23"/>
      <c r="C55" s="77"/>
      <c r="D55" s="140"/>
      <c r="E55" s="78"/>
      <c r="F55" s="152"/>
      <c r="G55" s="75"/>
      <c r="H55" s="247"/>
    </row>
    <row r="56" spans="1:8" ht="13.7" customHeight="1" x14ac:dyDescent="0.25">
      <c r="B56" s="23"/>
      <c r="C56" s="77"/>
      <c r="D56" s="140"/>
      <c r="E56" s="78"/>
      <c r="F56" s="152"/>
      <c r="G56" s="75"/>
      <c r="H56" s="250"/>
    </row>
    <row r="57" spans="1:8" ht="13.7" customHeight="1" x14ac:dyDescent="0.25">
      <c r="B57" s="23"/>
      <c r="C57" s="77"/>
      <c r="D57" s="140"/>
      <c r="E57" s="78"/>
      <c r="F57" s="152"/>
      <c r="G57" s="75"/>
      <c r="H57" s="80"/>
    </row>
    <row r="58" spans="1:8" ht="13.7" customHeight="1" x14ac:dyDescent="0.25">
      <c r="B58" s="23"/>
      <c r="C58" s="77"/>
      <c r="D58" s="140"/>
      <c r="E58" s="78"/>
      <c r="F58" s="152"/>
      <c r="G58" s="75"/>
      <c r="H58" s="80"/>
    </row>
    <row r="59" spans="1:8" ht="13.7" customHeight="1" x14ac:dyDescent="0.25">
      <c r="B59" s="23"/>
      <c r="C59" s="77"/>
      <c r="D59" s="140"/>
      <c r="E59" s="78"/>
      <c r="F59" s="152"/>
      <c r="G59" s="75"/>
      <c r="H59" s="80"/>
    </row>
    <row r="60" spans="1:8" ht="13.7" customHeight="1" x14ac:dyDescent="0.25">
      <c r="B60" s="23"/>
      <c r="C60" s="77"/>
      <c r="D60" s="77"/>
      <c r="E60" s="78"/>
      <c r="F60" s="152"/>
      <c r="G60" s="75"/>
      <c r="H60" s="80"/>
    </row>
    <row r="61" spans="1:8" ht="13.7" customHeight="1" x14ac:dyDescent="0.25">
      <c r="B61" s="23"/>
      <c r="C61" s="239"/>
      <c r="D61" s="239"/>
      <c r="E61" s="235"/>
      <c r="F61" s="152"/>
      <c r="G61" s="75"/>
      <c r="H61" s="80"/>
    </row>
    <row r="62" spans="1:8" ht="13.7" customHeight="1" x14ac:dyDescent="0.25">
      <c r="B62" s="23"/>
      <c r="C62" s="239"/>
      <c r="D62" s="239"/>
      <c r="E62" s="235"/>
      <c r="F62" s="152"/>
      <c r="G62" s="75"/>
      <c r="H62" s="80"/>
    </row>
    <row r="63" spans="1:8" ht="13.7" customHeight="1" x14ac:dyDescent="0.25">
      <c r="B63" s="23"/>
      <c r="C63" s="239"/>
      <c r="D63" s="239"/>
      <c r="E63" s="235"/>
      <c r="F63" s="118"/>
      <c r="G63" s="75"/>
      <c r="H63" s="82"/>
    </row>
    <row r="64" spans="1:8" ht="13.7" customHeight="1" x14ac:dyDescent="0.25">
      <c r="B64" s="23"/>
      <c r="C64" s="239"/>
      <c r="D64" s="239"/>
      <c r="E64" s="235"/>
      <c r="F64" s="118"/>
      <c r="G64" s="75"/>
      <c r="H64" s="82"/>
    </row>
    <row r="65" spans="2:8" ht="13.7" customHeight="1" x14ac:dyDescent="0.25">
      <c r="B65" s="23"/>
      <c r="C65" s="239"/>
      <c r="D65" s="239"/>
      <c r="E65" s="235"/>
      <c r="F65" s="118"/>
      <c r="G65" s="75"/>
      <c r="H65" s="82"/>
    </row>
    <row r="66" spans="2:8" ht="13.7" customHeight="1" x14ac:dyDescent="0.25">
      <c r="B66" s="23"/>
      <c r="C66" s="239"/>
      <c r="D66" s="239"/>
      <c r="E66" s="235"/>
      <c r="F66" s="118"/>
      <c r="G66" s="75"/>
      <c r="H66" s="82"/>
    </row>
    <row r="67" spans="2:8" ht="13.7" customHeight="1" x14ac:dyDescent="0.25">
      <c r="B67" s="23"/>
      <c r="C67" s="239"/>
      <c r="D67" s="239"/>
      <c r="E67" s="235"/>
      <c r="F67" s="118"/>
      <c r="G67" s="75"/>
      <c r="H67" s="82"/>
    </row>
    <row r="68" spans="2:8" ht="13.7" customHeight="1" x14ac:dyDescent="0.25">
      <c r="B68" s="23"/>
      <c r="C68" s="239"/>
      <c r="D68" s="239"/>
      <c r="E68" s="235"/>
      <c r="F68" s="118"/>
      <c r="G68" s="75"/>
      <c r="H68" s="82"/>
    </row>
    <row r="69" spans="2:8" ht="13.7" customHeight="1" x14ac:dyDescent="0.25">
      <c r="B69" s="23"/>
      <c r="C69" s="239"/>
      <c r="D69" s="239"/>
      <c r="E69" s="235"/>
      <c r="F69" s="118"/>
      <c r="G69" s="75"/>
      <c r="H69" s="82"/>
    </row>
    <row r="70" spans="2:8" ht="13.7" customHeight="1" x14ac:dyDescent="0.25">
      <c r="B70" s="23"/>
      <c r="C70" s="239"/>
      <c r="D70" s="239"/>
      <c r="E70" s="235"/>
      <c r="F70" s="118"/>
      <c r="G70" s="75"/>
      <c r="H70" s="82"/>
    </row>
    <row r="71" spans="2:8" ht="13.7" customHeight="1" x14ac:dyDescent="0.25">
      <c r="B71" s="23"/>
      <c r="C71" s="239"/>
      <c r="D71" s="239"/>
      <c r="E71" s="235"/>
      <c r="F71" s="118"/>
      <c r="G71" s="75"/>
      <c r="H71" s="82"/>
    </row>
    <row r="72" spans="2:8" ht="13.7" customHeight="1" x14ac:dyDescent="0.25">
      <c r="B72" s="23"/>
      <c r="C72" s="239"/>
      <c r="D72" s="239"/>
      <c r="E72" s="235"/>
      <c r="F72" s="118"/>
      <c r="G72" s="75"/>
      <c r="H72" s="82"/>
    </row>
    <row r="73" spans="2:8" ht="13.7" customHeight="1" x14ac:dyDescent="0.25">
      <c r="B73" s="23"/>
      <c r="C73" s="77"/>
      <c r="D73" s="77"/>
      <c r="E73" s="78"/>
      <c r="F73" s="79"/>
      <c r="G73" s="75"/>
      <c r="H73" s="81"/>
    </row>
    <row r="74" spans="2:8" ht="13.7" customHeight="1" x14ac:dyDescent="0.25">
      <c r="B74" s="23"/>
      <c r="C74" s="77"/>
      <c r="D74" s="77"/>
      <c r="E74" s="78"/>
      <c r="F74" s="79"/>
      <c r="G74" s="75"/>
      <c r="H74" s="81"/>
    </row>
    <row r="75" spans="2:8" ht="13.7" customHeight="1" x14ac:dyDescent="0.25">
      <c r="B75" s="23"/>
      <c r="C75" s="77"/>
      <c r="D75" s="77"/>
      <c r="E75" s="78"/>
      <c r="F75" s="81"/>
      <c r="G75" s="75"/>
      <c r="H75" s="81"/>
    </row>
    <row r="76" spans="2:8" ht="13.7" customHeight="1" x14ac:dyDescent="0.25">
      <c r="B76" s="23"/>
      <c r="C76" s="265"/>
      <c r="D76" s="265"/>
      <c r="E76" s="78"/>
      <c r="F76" s="81"/>
      <c r="G76" s="75"/>
      <c r="H76" s="81"/>
    </row>
    <row r="77" spans="2:8" ht="13.7" customHeight="1" x14ac:dyDescent="0.25">
      <c r="B77" s="23"/>
      <c r="C77" s="77"/>
      <c r="D77" s="77"/>
      <c r="E77" s="78"/>
      <c r="F77" s="81"/>
      <c r="G77" s="75"/>
      <c r="H77" s="81"/>
    </row>
    <row r="78" spans="2:8" ht="13.7" customHeight="1" x14ac:dyDescent="0.25">
      <c r="B78" s="23"/>
      <c r="C78" s="77"/>
      <c r="D78" s="255"/>
      <c r="E78" s="78"/>
      <c r="F78" s="79"/>
      <c r="G78" s="75"/>
      <c r="H78" s="246"/>
    </row>
    <row r="79" spans="2:8" ht="13.7" customHeight="1" x14ac:dyDescent="0.25">
      <c r="B79" s="23"/>
      <c r="C79" s="77"/>
      <c r="D79" s="77"/>
      <c r="E79" s="78"/>
      <c r="F79" s="79"/>
      <c r="G79" s="75"/>
      <c r="H79" s="246"/>
    </row>
    <row r="80" spans="2:8" ht="13.7" customHeight="1" x14ac:dyDescent="0.25">
      <c r="B80" s="23"/>
      <c r="C80" s="77"/>
      <c r="D80" s="77"/>
      <c r="E80" s="78"/>
      <c r="F80" s="79"/>
      <c r="G80" s="75"/>
      <c r="H80" s="246"/>
    </row>
    <row r="81" spans="2:8" ht="13.7" customHeight="1" x14ac:dyDescent="0.25">
      <c r="B81" s="23"/>
      <c r="C81" s="77"/>
      <c r="D81" s="77"/>
      <c r="E81" s="78"/>
      <c r="F81" s="79"/>
      <c r="G81" s="75"/>
      <c r="H81" s="246"/>
    </row>
    <row r="82" spans="2:8" ht="13.7" customHeight="1" x14ac:dyDescent="0.25">
      <c r="B82" s="23"/>
      <c r="C82" s="77"/>
      <c r="D82" s="77"/>
      <c r="E82" s="78"/>
      <c r="F82" s="79"/>
      <c r="G82" s="75"/>
      <c r="H82" s="246"/>
    </row>
    <row r="83" spans="2:8" ht="13.7" customHeight="1" x14ac:dyDescent="0.25">
      <c r="B83" s="23"/>
      <c r="C83" s="77"/>
      <c r="D83" s="77"/>
      <c r="E83" s="78"/>
      <c r="F83" s="119"/>
      <c r="G83" s="75"/>
      <c r="H83" s="246"/>
    </row>
    <row r="84" spans="2:8" ht="13.7" customHeight="1" x14ac:dyDescent="0.25">
      <c r="B84" s="23"/>
      <c r="C84" s="77"/>
      <c r="D84" s="77"/>
      <c r="E84" s="78"/>
      <c r="F84" s="79"/>
      <c r="G84" s="75"/>
      <c r="H84" s="246"/>
    </row>
    <row r="85" spans="2:8" ht="13.7" customHeight="1" x14ac:dyDescent="0.25">
      <c r="B85" s="23"/>
      <c r="C85" s="77"/>
      <c r="D85" s="77"/>
      <c r="E85" s="78"/>
      <c r="F85" s="79"/>
      <c r="G85" s="75"/>
      <c r="H85" s="246"/>
    </row>
    <row r="86" spans="2:8" ht="13.7" customHeight="1" x14ac:dyDescent="0.25">
      <c r="B86" s="23"/>
      <c r="C86" s="77"/>
      <c r="D86" s="77"/>
      <c r="E86" s="78"/>
      <c r="F86" s="79"/>
      <c r="G86" s="75"/>
      <c r="H86" s="246"/>
    </row>
    <row r="87" spans="2:8" ht="13.7" customHeight="1" x14ac:dyDescent="0.25">
      <c r="B87" s="23"/>
      <c r="C87" s="77"/>
      <c r="D87" s="77"/>
      <c r="E87" s="78"/>
      <c r="F87" s="79"/>
      <c r="G87" s="75"/>
      <c r="H87" s="246"/>
    </row>
    <row r="88" spans="2:8" ht="13.7" customHeight="1" x14ac:dyDescent="0.25">
      <c r="B88" s="23"/>
      <c r="C88" s="77"/>
      <c r="D88" s="77"/>
      <c r="E88" s="78"/>
      <c r="F88" s="79"/>
      <c r="G88" s="75"/>
      <c r="H88" s="246"/>
    </row>
    <row r="89" spans="2:8" ht="13.7" customHeight="1" x14ac:dyDescent="0.25">
      <c r="B89" s="23"/>
      <c r="C89" s="77"/>
      <c r="D89" s="77"/>
      <c r="E89" s="78"/>
      <c r="F89" s="79"/>
      <c r="G89" s="75"/>
      <c r="H89" s="246"/>
    </row>
    <row r="90" spans="2:8" ht="13.7" customHeight="1" x14ac:dyDescent="0.25">
      <c r="B90" s="23"/>
      <c r="C90" s="236"/>
      <c r="D90" s="140"/>
      <c r="E90" s="78"/>
      <c r="F90" s="79"/>
      <c r="G90" s="75"/>
      <c r="H90" s="246"/>
    </row>
    <row r="91" spans="2:8" ht="13.7" customHeight="1" x14ac:dyDescent="0.25">
      <c r="B91" s="23"/>
      <c r="C91" s="236"/>
      <c r="D91" s="137"/>
      <c r="E91" s="78"/>
      <c r="F91" s="79"/>
      <c r="G91" s="75"/>
      <c r="H91" s="246"/>
    </row>
    <row r="92" spans="2:8" ht="13.7" customHeight="1" x14ac:dyDescent="0.25">
      <c r="B92" s="23"/>
      <c r="C92" s="236"/>
      <c r="D92" s="137"/>
      <c r="E92" s="78"/>
      <c r="F92" s="79"/>
      <c r="G92" s="75"/>
      <c r="H92" s="246"/>
    </row>
    <row r="93" spans="2:8" ht="13.7" customHeight="1" x14ac:dyDescent="0.25">
      <c r="B93" s="23"/>
      <c r="C93" s="77"/>
      <c r="D93" s="77"/>
      <c r="E93" s="78"/>
      <c r="F93" s="79"/>
      <c r="G93" s="75"/>
      <c r="H93" s="246"/>
    </row>
    <row r="94" spans="2:8" ht="13.7" customHeight="1" x14ac:dyDescent="0.25">
      <c r="B94" s="23"/>
      <c r="C94" s="77"/>
      <c r="D94" s="77"/>
      <c r="E94" s="78"/>
      <c r="F94" s="79"/>
      <c r="G94" s="75"/>
      <c r="H94" s="246"/>
    </row>
    <row r="95" spans="2:8" ht="13.7" customHeight="1" x14ac:dyDescent="0.25">
      <c r="B95" s="23"/>
      <c r="C95" s="77"/>
      <c r="D95" s="77"/>
      <c r="E95" s="78"/>
      <c r="F95" s="79"/>
      <c r="G95" s="75"/>
      <c r="H95" s="246"/>
    </row>
    <row r="96" spans="2:8" ht="13.7" customHeight="1" x14ac:dyDescent="0.25">
      <c r="B96" s="23"/>
      <c r="C96" s="77"/>
      <c r="D96" s="77"/>
      <c r="E96" s="78"/>
      <c r="F96" s="79"/>
      <c r="G96" s="75"/>
      <c r="H96" s="246"/>
    </row>
    <row r="97" spans="2:8" ht="13.7" customHeight="1" x14ac:dyDescent="0.25">
      <c r="B97" s="23"/>
      <c r="C97" s="77"/>
      <c r="D97" s="77"/>
      <c r="E97" s="78"/>
      <c r="F97" s="79"/>
      <c r="G97" s="75"/>
      <c r="H97" s="246"/>
    </row>
    <row r="98" spans="2:8" ht="13.7" customHeight="1" x14ac:dyDescent="0.25">
      <c r="B98" s="23"/>
      <c r="C98" s="23"/>
      <c r="D98" s="23"/>
      <c r="E98" s="23"/>
      <c r="F98" s="81"/>
      <c r="G98" s="75"/>
      <c r="H98" s="81"/>
    </row>
    <row r="99" spans="2:8" ht="13.7" customHeight="1" x14ac:dyDescent="0.25">
      <c r="B99" s="23"/>
      <c r="C99" s="23"/>
      <c r="D99" s="23"/>
      <c r="E99" s="23"/>
      <c r="F99" s="79"/>
      <c r="G99" s="75"/>
      <c r="H99" s="81"/>
    </row>
    <row r="100" spans="2:8" ht="13.7" customHeight="1" x14ac:dyDescent="0.25">
      <c r="B100" s="23"/>
      <c r="C100" s="23"/>
      <c r="D100" s="23"/>
      <c r="E100" s="23"/>
      <c r="F100" s="79"/>
      <c r="G100" s="75"/>
      <c r="H100" s="81"/>
    </row>
    <row r="101" spans="2:8" ht="13.7" customHeight="1" x14ac:dyDescent="0.25">
      <c r="B101" s="23"/>
      <c r="C101" s="23"/>
      <c r="D101" s="23"/>
      <c r="E101" s="23"/>
      <c r="F101" s="81"/>
      <c r="G101" s="75"/>
      <c r="H101" s="81"/>
    </row>
    <row r="102" spans="2:8" ht="13.7" customHeight="1" x14ac:dyDescent="0.25">
      <c r="B102" s="23"/>
      <c r="C102" s="23"/>
      <c r="D102" s="139"/>
      <c r="E102" s="23"/>
      <c r="F102" s="79"/>
      <c r="G102" s="75"/>
      <c r="H102" s="81"/>
    </row>
    <row r="103" spans="2:8" ht="13.7" customHeight="1" x14ac:dyDescent="0.25">
      <c r="B103" s="23"/>
      <c r="C103" s="23"/>
      <c r="D103" s="139"/>
      <c r="E103" s="23"/>
      <c r="F103" s="79"/>
      <c r="G103" s="75"/>
      <c r="H103" s="81"/>
    </row>
    <row r="104" spans="2:8" ht="13.7" customHeight="1" x14ac:dyDescent="0.25">
      <c r="B104" s="23"/>
      <c r="C104" s="23"/>
      <c r="D104" s="139"/>
      <c r="E104" s="23"/>
      <c r="F104" s="79"/>
      <c r="G104" s="75"/>
      <c r="H104" s="81"/>
    </row>
    <row r="105" spans="2:8" ht="13.7" customHeight="1" x14ac:dyDescent="0.25">
      <c r="B105" s="23"/>
      <c r="C105" s="23"/>
      <c r="D105" s="139"/>
      <c r="E105" s="23"/>
      <c r="F105" s="79"/>
      <c r="G105" s="75"/>
      <c r="H105" s="81"/>
    </row>
    <row r="106" spans="2:8" ht="13.7" customHeight="1" x14ac:dyDescent="0.25">
      <c r="B106" s="23"/>
      <c r="C106" s="23"/>
      <c r="D106" s="139"/>
      <c r="E106" s="23"/>
      <c r="F106" s="79"/>
      <c r="G106" s="75"/>
      <c r="H106" s="81"/>
    </row>
    <row r="107" spans="2:8" ht="13.7" customHeight="1" x14ac:dyDescent="0.25">
      <c r="B107" s="23"/>
      <c r="C107" s="23"/>
      <c r="D107" s="120"/>
      <c r="E107" s="23"/>
      <c r="F107" s="81"/>
      <c r="G107" s="75"/>
      <c r="H107" s="81"/>
    </row>
    <row r="108" spans="2:8" ht="13.7" customHeight="1" x14ac:dyDescent="0.25">
      <c r="B108" s="23"/>
      <c r="C108" s="23"/>
      <c r="D108" s="23"/>
      <c r="E108" s="23"/>
      <c r="F108" s="79"/>
      <c r="G108" s="75"/>
      <c r="H108" s="81"/>
    </row>
    <row r="109" spans="2:8" ht="13.7" customHeight="1" x14ac:dyDescent="0.25">
      <c r="B109" s="23"/>
      <c r="C109" s="23"/>
      <c r="D109" s="23"/>
      <c r="E109" s="23"/>
      <c r="F109" s="79"/>
      <c r="G109" s="75"/>
      <c r="H109" s="81"/>
    </row>
    <row r="110" spans="2:8" ht="13.7" customHeight="1" x14ac:dyDescent="0.25">
      <c r="B110" s="23"/>
      <c r="C110" s="23"/>
      <c r="D110" s="23"/>
      <c r="E110" s="23"/>
      <c r="F110" s="79"/>
      <c r="G110" s="75"/>
      <c r="H110" s="81"/>
    </row>
    <row r="111" spans="2:8" ht="13.7" customHeight="1" x14ac:dyDescent="0.25">
      <c r="B111" s="23"/>
      <c r="C111" s="23"/>
      <c r="D111" s="23"/>
      <c r="E111" s="23"/>
      <c r="F111" s="79"/>
      <c r="G111" s="75"/>
      <c r="H111" s="81"/>
    </row>
    <row r="112" spans="2:8" ht="13.7" customHeight="1" x14ac:dyDescent="0.25">
      <c r="B112" s="23"/>
      <c r="C112" s="23"/>
      <c r="D112" s="23"/>
      <c r="E112" s="23"/>
      <c r="F112" s="81"/>
      <c r="G112" s="75"/>
      <c r="H112" s="81"/>
    </row>
    <row r="113" spans="2:8" ht="13.7" customHeight="1" x14ac:dyDescent="0.25">
      <c r="B113" s="23"/>
      <c r="C113" s="23"/>
      <c r="D113" s="23"/>
      <c r="E113" s="23"/>
      <c r="F113" s="79"/>
      <c r="G113" s="75"/>
      <c r="H113" s="81"/>
    </row>
    <row r="114" spans="2:8" ht="13.7" customHeight="1" x14ac:dyDescent="0.25">
      <c r="B114" s="23"/>
      <c r="C114" s="23"/>
      <c r="D114" s="23"/>
      <c r="E114" s="23"/>
      <c r="F114" s="79"/>
      <c r="G114" s="75"/>
      <c r="H114" s="81"/>
    </row>
    <row r="115" spans="2:8" ht="13.7" customHeight="1" x14ac:dyDescent="0.25">
      <c r="B115" s="23"/>
      <c r="C115" s="23"/>
      <c r="D115" s="23"/>
      <c r="E115" s="23"/>
      <c r="F115" s="81"/>
      <c r="G115" s="45"/>
      <c r="H115" s="81"/>
    </row>
    <row r="116" spans="2:8" ht="13.7" customHeight="1" x14ac:dyDescent="0.25">
      <c r="B116" s="23"/>
      <c r="C116" s="23"/>
      <c r="D116" s="23"/>
      <c r="E116" s="23"/>
      <c r="F116" s="81"/>
      <c r="G116" s="45"/>
      <c r="H116" s="81"/>
    </row>
    <row r="117" spans="2:8" ht="13.7" customHeight="1" x14ac:dyDescent="0.25"/>
    <row r="118" spans="2:8" ht="13.7" customHeight="1" x14ac:dyDescent="0.25"/>
    <row r="119" spans="2:8" ht="13.7" customHeight="1" x14ac:dyDescent="0.25"/>
    <row r="120" spans="2:8" ht="13.7" customHeight="1" x14ac:dyDescent="0.25"/>
  </sheetData>
  <mergeCells count="11">
    <mergeCell ref="G5:G6"/>
    <mergeCell ref="H5:H6"/>
    <mergeCell ref="A7:H7"/>
    <mergeCell ref="B43:H43"/>
    <mergeCell ref="C76:D76"/>
    <mergeCell ref="A5:A6"/>
    <mergeCell ref="B5:B6"/>
    <mergeCell ref="C5:C6"/>
    <mergeCell ref="D5:D6"/>
    <mergeCell ref="E5:E6"/>
    <mergeCell ref="F5:F6"/>
  </mergeCells>
  <pageMargins left="0" right="0" top="0" bottom="0" header="0" footer="0"/>
  <pageSetup paperSize="9" scale="53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Оборудование и материалы</vt:lpstr>
      <vt:lpstr>ПРРЭС (2018)</vt:lpstr>
      <vt:lpstr>Октяб.РЭС (2018)</vt:lpstr>
      <vt:lpstr>ПКУ (2018)</vt:lpstr>
      <vt:lpstr>'Октяб.РЭС (2018)'!Область_печати</vt:lpstr>
      <vt:lpstr>'ПКУ (2018)'!Область_печати</vt:lpstr>
      <vt:lpstr>'ПРРЭС (2018)'!Область_печати</vt:lpstr>
    </vt:vector>
  </TitlesOfParts>
  <Company>PES DRSK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№ 1 к ТЗ Спецификация  доп. на 2018</dc:title>
  <dc:creator>Тихоненко Сергей Викторович</dc:creator>
  <cp:lastModifiedBy>Питченко Юрий Анатольевич</cp:lastModifiedBy>
  <cp:lastPrinted>2018-07-06T07:16:56Z</cp:lastPrinted>
  <dcterms:created xsi:type="dcterms:W3CDTF">2011-07-15T03:12:54Z</dcterms:created>
  <dcterms:modified xsi:type="dcterms:W3CDTF">2018-07-06T07:16:58Z</dcterms:modified>
</cp:coreProperties>
</file>