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 - этап 3" sheetId="33" r:id="rId1"/>
  </sheets>
  <calcPr calcId="144525"/>
</workbook>
</file>

<file path=xl/calcChain.xml><?xml version="1.0" encoding="utf-8"?>
<calcChain xmlns="http://schemas.openxmlformats.org/spreadsheetml/2006/main">
  <c r="F63" i="33" l="1"/>
  <c r="D62" i="33"/>
  <c r="A53" i="33"/>
  <c r="C52" i="33"/>
  <c r="E56" i="33" s="1"/>
  <c r="C56" i="33" s="1"/>
  <c r="A52" i="33"/>
  <c r="C48" i="33"/>
  <c r="C43" i="33"/>
  <c r="E47" i="33" s="1"/>
  <c r="C47" i="33" s="1"/>
  <c r="C35" i="33"/>
  <c r="E38" i="33" s="1"/>
  <c r="E31" i="33"/>
  <c r="C31" i="33" s="1"/>
  <c r="A34" i="33" s="1"/>
  <c r="C30" i="33"/>
  <c r="A27" i="33"/>
  <c r="E22" i="33"/>
  <c r="C22" i="33" s="1"/>
  <c r="C21" i="33"/>
  <c r="A18" i="33"/>
  <c r="F25" i="33" l="1"/>
  <c r="F26" i="33" s="1"/>
  <c r="A26" i="33"/>
  <c r="F50" i="33"/>
  <c r="F51" i="33" s="1"/>
  <c r="A51" i="33"/>
  <c r="E39" i="33"/>
  <c r="C39" i="33" s="1"/>
  <c r="C38" i="33"/>
  <c r="F59" i="33"/>
  <c r="F60" i="33" s="1"/>
  <c r="A60" i="33"/>
  <c r="F33" i="33"/>
  <c r="F34" i="33" s="1"/>
  <c r="A42" i="33" l="1"/>
  <c r="F41" i="33"/>
  <c r="F42" i="33" s="1"/>
  <c r="F61" i="33"/>
  <c r="F62" i="33" s="1"/>
  <c r="F64" i="33" s="1"/>
  <c r="A61" i="33"/>
  <c r="F65" i="33" l="1"/>
  <c r="F66" i="33" s="1"/>
  <c r="F67" i="33" l="1"/>
  <c r="F68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51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  <comment ref="F60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<sst xmlns="http://schemas.openxmlformats.org/spreadsheetml/2006/main" count="119" uniqueCount="74">
  <si>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</si>
  <si>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</si>
  <si>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</si>
  <si>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</si>
  <si>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</si>
  <si>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</si>
  <si>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</si>
  <si>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</si>
  <si>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</si>
  <si>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Прим.4</t>
  </si>
  <si>
    <t>Кприр.экон.</t>
  </si>
  <si>
    <t>П.14</t>
  </si>
  <si>
    <t>С=(а*x1+в*х2)*Кпр.эк.*Кврг=</t>
  </si>
  <si>
    <t>Прим.3</t>
  </si>
  <si>
    <t>табл. 73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</si>
  <si>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</si>
  <si>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</si>
  <si>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</si>
  <si>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</si>
  <si>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</si>
  <si>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r>
      <t xml:space="preserve">К"в"=3,5; </t>
    </r>
    <r>
      <rPr>
        <sz val="10"/>
        <rFont val="Courier New Cyr"/>
        <family val="3"/>
        <charset val="204"/>
      </rPr>
      <t xml:space="preserve"> отвод под линейный объект</t>
    </r>
  </si>
  <si>
    <t>Прим.10</t>
  </si>
  <si>
    <t>Кприродно-экономич.    2,22</t>
  </si>
  <si>
    <t>С=(а*x1+в*х2)*Кпр.эк=</t>
  </si>
  <si>
    <t>табл. 2</t>
  </si>
  <si>
    <t>объект</t>
  </si>
  <si>
    <t>1 км хода</t>
  </si>
  <si>
    <t>К"в"=1,0+0,08(n-3) кол. точек стояния на 1 км</t>
  </si>
  <si>
    <t>К"а"=1,0-0,04(15-n) протяж. хода &lt; 15 км</t>
  </si>
  <si>
    <t xml:space="preserve">К"а"=0,4; </t>
  </si>
  <si>
    <t>Прим.8</t>
  </si>
  <si>
    <t>Кприродно-экономич.     2,22</t>
  </si>
  <si>
    <t>С=(а*x1+в*х2)*Кпр.эк.=</t>
  </si>
  <si>
    <t>табл. 114</t>
  </si>
  <si>
    <t>1 км границы</t>
  </si>
  <si>
    <t>К"в"=1,0+0,08(n-3) кол. меж. зн. на 1 км</t>
  </si>
  <si>
    <t>К"а"=1,0-0,06(15-n) протяж. гр.&lt;15 км</t>
  </si>
  <si>
    <t>табл. 35</t>
  </si>
  <si>
    <t>1 тыс.га общей площади</t>
  </si>
  <si>
    <t>К"а"=1.0-0.9*(1-n) пл-дь&lt;1тыс.га</t>
  </si>
  <si>
    <t>К"в"=1.0-0.7*(1-n) пл-дь&lt;1тыс.га</t>
  </si>
  <si>
    <t>табл. 77</t>
  </si>
  <si>
    <r>
      <t xml:space="preserve">1,00;2,5;4,0; </t>
    </r>
    <r>
      <rPr>
        <sz val="10"/>
        <rFont val="Courier New"/>
        <family val="3"/>
        <charset val="204"/>
      </rPr>
      <t>Вид объекта</t>
    </r>
  </si>
  <si>
    <t>К"а"=К"в"</t>
  </si>
  <si>
    <t>К"а"=1.0-0.02*(40-n) дл. &lt; 40 км</t>
  </si>
  <si>
    <t>К"в"=1,0+0,05(n-1) кол. меж. зн.</t>
  </si>
  <si>
    <t>Проезд до объекта и обратно (до 25% от стоимости работ) п.7 Общих указаний ОНЗТ</t>
  </si>
  <si>
    <t xml:space="preserve">Образование зем. участка </t>
  </si>
  <si>
    <t>4. Описание и согласование границ землепользования 1 км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</si>
  <si>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</si>
  <si>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</si>
  <si>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</si>
  <si>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</si>
  <si>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</si>
  <si>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</si>
  <si>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</si>
  <si>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</si>
  <si>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</si>
  <si>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</si>
  <si>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</si>
  <si>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</si>
  <si>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</si>
  <si>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</si>
  <si>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</si>
  <si>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</si>
  <si>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</si>
  <si>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межевого плана земельного участка</t>
  </si>
  <si>
    <t>3. Вычисление общей площади землепользования 0,0003 тыс. га</t>
  </si>
  <si>
    <t>Смета составлена по ОНТЗ Роскомзема 1996 г.</t>
  </si>
  <si>
    <t>1 тыс га</t>
  </si>
  <si>
    <t>К"а"=1.0-0.90*(1-n) протяж. &lt; 1 тыс га</t>
  </si>
  <si>
    <t>Сведения из ГКН</t>
  </si>
  <si>
    <t>Итого: Сорок девять тысяч двести шестьдесят пять руб. 44 коп.</t>
  </si>
  <si>
    <t xml:space="preserve">Обект: Строительство КТПН 6(10)/0,4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</si>
</sst>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164" formatCode="0.000"/>
    <numFmt numFmtId="165" formatCode="0.0"/>
    <numFmt numFmtId="166" formatCode="0.00;[Red]0.00"/>
    <numFmt numFmtId="167" formatCode="0.000000"/>
    <numFmt numFmtId="169" formatCode="000000"/>
    <numFmt numFmtId="170" formatCode="0.0000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b/>
      <sz val="10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b/>
      <sz val="10"/>
      <color indexed="6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 applyBorder="1" applyAlignment="1"/>
    <xf numFmtId="0" fontId="5" fillId="0" borderId="0" xfId="0" applyFont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/>
    <xf numFmtId="0" fontId="7" fillId="0" borderId="12" xfId="0" applyFont="1" applyFill="1" applyBorder="1"/>
    <xf numFmtId="0" fontId="11" fillId="0" borderId="0" xfId="0" applyFont="1"/>
    <xf numFmtId="1" fontId="7" fillId="0" borderId="1" xfId="0" applyNumberFormat="1" applyFont="1" applyFill="1" applyBorder="1" applyAlignment="1"/>
    <xf numFmtId="0" fontId="5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14" fillId="0" borderId="0" xfId="0" applyFont="1" applyFill="1"/>
    <xf numFmtId="0" fontId="14" fillId="0" borderId="24" xfId="0" applyFont="1" applyFill="1" applyBorder="1" applyAlignment="1"/>
    <xf numFmtId="0" fontId="15" fillId="0" borderId="6" xfId="0" applyFont="1" applyFill="1" applyBorder="1" applyAlignment="1"/>
    <xf numFmtId="0" fontId="14" fillId="0" borderId="1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4" fillId="0" borderId="5" xfId="0" applyFont="1" applyFill="1" applyBorder="1" applyAlignment="1"/>
    <xf numFmtId="1" fontId="14" fillId="0" borderId="1" xfId="0" applyNumberFormat="1" applyFont="1" applyFill="1" applyBorder="1" applyAlignment="1"/>
    <xf numFmtId="0" fontId="14" fillId="0" borderId="22" xfId="0" applyFont="1" applyFill="1" applyBorder="1" applyAlignment="1">
      <alignment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1" xfId="0" applyFont="1" applyFill="1" applyBorder="1" applyAlignment="1"/>
    <xf numFmtId="0" fontId="14" fillId="0" borderId="10" xfId="0" applyFont="1" applyFill="1" applyBorder="1" applyAlignment="1"/>
    <xf numFmtId="0" fontId="14" fillId="0" borderId="9" xfId="0" applyFont="1" applyFill="1" applyBorder="1" applyAlignment="1"/>
    <xf numFmtId="0" fontId="15" fillId="0" borderId="4" xfId="0" applyFont="1" applyFill="1" applyBorder="1" applyAlignment="1">
      <alignment horizontal="left" vertical="center"/>
    </xf>
    <xf numFmtId="0" fontId="14" fillId="0" borderId="1" xfId="0" applyFont="1" applyFill="1" applyBorder="1" applyAlignment="1"/>
    <xf numFmtId="0" fontId="14" fillId="0" borderId="2" xfId="0" applyFont="1" applyFill="1" applyBorder="1" applyAlignment="1"/>
    <xf numFmtId="0" fontId="14" fillId="0" borderId="3" xfId="0" applyFont="1" applyFill="1" applyBorder="1" applyAlignment="1"/>
    <xf numFmtId="2" fontId="14" fillId="0" borderId="1" xfId="0" applyNumberFormat="1" applyFont="1" applyFill="1" applyBorder="1" applyAlignment="1"/>
    <xf numFmtId="0" fontId="14" fillId="0" borderId="1" xfId="0" applyFont="1" applyFill="1" applyBorder="1"/>
    <xf numFmtId="16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20" xfId="0" applyFont="1" applyFill="1" applyBorder="1" applyAlignment="1"/>
    <xf numFmtId="0" fontId="6" fillId="0" borderId="21" xfId="0" applyFont="1" applyFill="1" applyBorder="1" applyAlignment="1">
      <alignment horizontal="centerContinuous" vertical="center" wrapText="1"/>
    </xf>
    <xf numFmtId="0" fontId="10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0" fontId="14" fillId="0" borderId="6" xfId="0" applyFont="1" applyFill="1" applyBorder="1" applyAlignment="1">
      <alignment horizontal="center"/>
    </xf>
    <xf numFmtId="0" fontId="14" fillId="0" borderId="11" xfId="0" applyFont="1" applyFill="1" applyBorder="1"/>
    <xf numFmtId="0" fontId="14" fillId="0" borderId="16" xfId="0" applyFont="1" applyFill="1" applyBorder="1"/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/>
    <xf numFmtId="0" fontId="16" fillId="0" borderId="12" xfId="0" applyFont="1" applyFill="1" applyBorder="1"/>
    <xf numFmtId="166" fontId="14" fillId="0" borderId="1" xfId="0" applyNumberFormat="1" applyFont="1" applyFill="1" applyBorder="1"/>
    <xf numFmtId="0" fontId="14" fillId="0" borderId="12" xfId="0" applyFont="1" applyFill="1" applyBorder="1"/>
    <xf numFmtId="2" fontId="14" fillId="0" borderId="7" xfId="0" applyNumberFormat="1" applyFont="1" applyFill="1" applyBorder="1"/>
    <xf numFmtId="0" fontId="14" fillId="0" borderId="3" xfId="0" applyFont="1" applyFill="1" applyBorder="1"/>
    <xf numFmtId="0" fontId="14" fillId="0" borderId="28" xfId="0" applyFont="1" applyFill="1" applyBorder="1" applyAlignment="1"/>
    <xf numFmtId="0" fontId="14" fillId="0" borderId="29" xfId="0" applyFont="1" applyFill="1" applyBorder="1" applyAlignment="1"/>
    <xf numFmtId="0" fontId="14" fillId="0" borderId="30" xfId="0" applyFont="1" applyFill="1" applyBorder="1" applyAlignment="1"/>
    <xf numFmtId="0" fontId="14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4" fillId="0" borderId="0" xfId="0" applyFont="1"/>
    <xf numFmtId="0" fontId="19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0" fontId="0" fillId="0" borderId="0" xfId="0" applyFill="1" applyAlignment="1">
      <alignment vertical="center"/>
    </xf>
    <xf numFmtId="0" fontId="7" fillId="0" borderId="10" xfId="0" applyFont="1" applyFill="1" applyBorder="1" applyAlignment="1"/>
    <xf numFmtId="0" fontId="5" fillId="0" borderId="3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/>
    <xf numFmtId="0" fontId="0" fillId="0" borderId="8" xfId="0" applyFill="1" applyBorder="1" applyAlignment="1">
      <alignment vertical="center"/>
    </xf>
    <xf numFmtId="0" fontId="0" fillId="0" borderId="0" xfId="0" applyFill="1"/>
    <xf numFmtId="0" fontId="7" fillId="0" borderId="5" xfId="0" applyFont="1" applyFill="1" applyBorder="1" applyAlignment="1"/>
    <xf numFmtId="0" fontId="7" fillId="0" borderId="6" xfId="0" applyFont="1" applyFill="1" applyBorder="1"/>
    <xf numFmtId="0" fontId="7" fillId="0" borderId="7" xfId="0" applyFont="1" applyFill="1" applyBorder="1"/>
    <xf numFmtId="0" fontId="5" fillId="0" borderId="3" xfId="0" applyFont="1" applyFill="1" applyBorder="1"/>
    <xf numFmtId="0" fontId="9" fillId="0" borderId="6" xfId="0" applyFont="1" applyFill="1" applyBorder="1"/>
    <xf numFmtId="0" fontId="7" fillId="0" borderId="19" xfId="0" applyFont="1" applyFill="1" applyBorder="1" applyAlignment="1"/>
    <xf numFmtId="0" fontId="5" fillId="0" borderId="26" xfId="0" applyFont="1" applyFill="1" applyBorder="1"/>
    <xf numFmtId="0" fontId="7" fillId="0" borderId="11" xfId="0" applyFont="1" applyFill="1" applyBorder="1"/>
    <xf numFmtId="0" fontId="5" fillId="0" borderId="16" xfId="0" applyFont="1" applyFill="1" applyBorder="1"/>
    <xf numFmtId="0" fontId="5" fillId="0" borderId="13" xfId="0" applyFont="1" applyFill="1" applyBorder="1"/>
    <xf numFmtId="2" fontId="7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right" vertical="center"/>
    </xf>
    <xf numFmtId="0" fontId="9" fillId="0" borderId="12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0" fillId="0" borderId="2" xfId="0" applyFill="1" applyBorder="1" applyAlignment="1"/>
    <xf numFmtId="0" fontId="0" fillId="0" borderId="15" xfId="0" applyFill="1" applyBorder="1" applyAlignment="1"/>
    <xf numFmtId="44" fontId="6" fillId="0" borderId="14" xfId="0" applyNumberFormat="1" applyFont="1" applyFill="1" applyBorder="1"/>
    <xf numFmtId="0" fontId="5" fillId="0" borderId="19" xfId="0" applyFont="1" applyFill="1" applyBorder="1" applyAlignment="1">
      <alignment horizontal="left" vertical="center" wrapText="1"/>
    </xf>
    <xf numFmtId="169" fontId="20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165" fontId="14" fillId="0" borderId="18" xfId="0" applyNumberFormat="1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165" fontId="14" fillId="0" borderId="7" xfId="0" applyNumberFormat="1" applyFont="1" applyFill="1" applyBorder="1"/>
    <xf numFmtId="0" fontId="6" fillId="0" borderId="22" xfId="0" applyFont="1" applyFill="1" applyBorder="1" applyAlignment="1">
      <alignment horizontal="centerContinuous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/>
    </xf>
    <xf numFmtId="0" fontId="5" fillId="0" borderId="7" xfId="0" applyFont="1" applyFill="1" applyBorder="1"/>
    <xf numFmtId="0" fontId="5" fillId="0" borderId="9" xfId="0" applyFont="1" applyFill="1" applyBorder="1"/>
    <xf numFmtId="49" fontId="7" fillId="0" borderId="7" xfId="0" applyNumberFormat="1" applyFont="1" applyFill="1" applyBorder="1"/>
    <xf numFmtId="0" fontId="7" fillId="0" borderId="4" xfId="0" applyFont="1" applyFill="1" applyBorder="1"/>
    <xf numFmtId="0" fontId="7" fillId="0" borderId="10" xfId="0" applyFont="1" applyFill="1" applyBorder="1"/>
    <xf numFmtId="0" fontId="0" fillId="0" borderId="7" xfId="0" applyFill="1" applyBorder="1"/>
    <xf numFmtId="0" fontId="8" fillId="0" borderId="20" xfId="0" applyFont="1" applyFill="1" applyBorder="1"/>
    <xf numFmtId="0" fontId="0" fillId="0" borderId="25" xfId="0" applyFill="1" applyBorder="1"/>
    <xf numFmtId="44" fontId="6" fillId="0" borderId="8" xfId="0" applyNumberFormat="1" applyFont="1" applyFill="1" applyBorder="1"/>
    <xf numFmtId="0" fontId="5" fillId="0" borderId="11" xfId="0" applyFont="1" applyFill="1" applyBorder="1"/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/>
    </xf>
    <xf numFmtId="0" fontId="10" fillId="0" borderId="12" xfId="0" applyFont="1" applyFill="1" applyBorder="1"/>
    <xf numFmtId="165" fontId="7" fillId="0" borderId="7" xfId="0" applyNumberFormat="1" applyFont="1" applyFill="1" applyBorder="1"/>
    <xf numFmtId="44" fontId="6" fillId="0" borderId="14" xfId="0" applyNumberFormat="1" applyFont="1" applyFill="1" applyBorder="1" applyAlignment="1">
      <alignment horizontal="center"/>
    </xf>
    <xf numFmtId="9" fontId="9" fillId="0" borderId="17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21" xfId="0" applyFont="1" applyFill="1" applyBorder="1"/>
    <xf numFmtId="0" fontId="14" fillId="0" borderId="22" xfId="0" applyFont="1" applyFill="1" applyBorder="1"/>
    <xf numFmtId="0" fontId="14" fillId="0" borderId="23" xfId="0" applyFont="1" applyFill="1" applyBorder="1"/>
    <xf numFmtId="0" fontId="17" fillId="0" borderId="0" xfId="0" applyFont="1" applyBorder="1" applyAlignment="1">
      <alignment horizontal="center"/>
    </xf>
    <xf numFmtId="0" fontId="18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/>
    </xf>
    <xf numFmtId="0" fontId="14" fillId="0" borderId="1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/>
    </xf>
    <xf numFmtId="167" fontId="14" fillId="0" borderId="27" xfId="0" applyNumberFormat="1" applyFont="1" applyFill="1" applyBorder="1" applyAlignment="1">
      <alignment horizontal="center" vertical="center" wrapText="1"/>
    </xf>
    <xf numFmtId="167" fontId="14" fillId="0" borderId="15" xfId="0" applyNumberFormat="1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3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/>
    <xf numFmtId="2" fontId="14" fillId="0" borderId="18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/>
    <xf numFmtId="170" fontId="7" fillId="0" borderId="18" xfId="0" applyNumberFormat="1" applyFont="1" applyFill="1" applyBorder="1" applyAlignment="1">
      <alignment horizontal="center" vertical="center"/>
    </xf>
    <xf numFmtId="170" fontId="7" fillId="0" borderId="7" xfId="0" applyNumberFormat="1" applyFont="1" applyFill="1" applyBorder="1"/>
    <xf numFmtId="170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topLeftCell="A42" zoomScale="85" zoomScaleNormal="85" workbookViewId="0">
      <selection activeCell="C23" sqref="C23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126" t="s">
        <v>52</v>
      </c>
      <c r="D1" s="127"/>
      <c r="E1" s="127"/>
      <c r="F1" s="127"/>
    </row>
    <row r="2" spans="1:6" ht="15.75" hidden="1" customHeight="1" x14ac:dyDescent="0.25">
      <c r="C2" s="128" t="s">
        <v>51</v>
      </c>
      <c r="D2" s="127"/>
      <c r="E2" s="127"/>
      <c r="F2" s="127"/>
    </row>
    <row r="3" spans="1:6" ht="38.25" hidden="1" customHeight="1" x14ac:dyDescent="0.25">
      <c r="D3" s="54" t="s">
        <v>50</v>
      </c>
      <c r="E3" s="9"/>
      <c r="F3" s="9"/>
    </row>
    <row r="4" spans="1:6" ht="28.5" hidden="1" customHeight="1" x14ac:dyDescent="0.25">
      <c r="D4" s="54" t="s">
        <v>49</v>
      </c>
      <c r="E4" s="9"/>
      <c r="F4" s="9"/>
    </row>
    <row r="5" spans="1:6" ht="18" hidden="1" customHeight="1" x14ac:dyDescent="0.2">
      <c r="F5" s="53"/>
    </row>
    <row r="6" spans="1:6" s="60" customFormat="1" outlineLevel="2" x14ac:dyDescent="0.2">
      <c r="A6" s="55" t="s">
        <v>53</v>
      </c>
      <c r="B6" s="56"/>
      <c r="C6" s="57"/>
      <c r="D6" s="58"/>
      <c r="E6" s="59"/>
      <c r="F6" s="61" t="s">
        <v>54</v>
      </c>
    </row>
    <row r="7" spans="1:6" s="60" customFormat="1" outlineLevel="1" x14ac:dyDescent="0.2">
      <c r="A7" s="62" t="s">
        <v>55</v>
      </c>
      <c r="B7" s="56"/>
      <c r="C7" s="57"/>
      <c r="D7" s="58"/>
      <c r="E7" s="59"/>
      <c r="F7" s="63" t="s">
        <v>56</v>
      </c>
    </row>
    <row r="8" spans="1:6" s="60" customFormat="1" outlineLevel="1" x14ac:dyDescent="0.2">
      <c r="A8" s="62" t="s">
        <v>57</v>
      </c>
      <c r="B8" s="56"/>
      <c r="C8" s="57"/>
      <c r="D8" s="58"/>
      <c r="E8" s="59"/>
      <c r="F8" s="63" t="s">
        <v>58</v>
      </c>
    </row>
    <row r="9" spans="1:6" s="60" customFormat="1" outlineLevel="1" x14ac:dyDescent="0.2">
      <c r="A9" s="62" t="s">
        <v>59</v>
      </c>
      <c r="B9" s="56"/>
      <c r="C9" s="57"/>
      <c r="D9" s="58"/>
      <c r="E9" s="59"/>
      <c r="F9" s="63" t="s">
        <v>60</v>
      </c>
    </row>
    <row r="10" spans="1:6" s="60" customFormat="1" outlineLevel="1" x14ac:dyDescent="0.2">
      <c r="A10" s="64" t="s">
        <v>61</v>
      </c>
      <c r="B10" s="56"/>
      <c r="C10" s="57"/>
      <c r="D10" s="58"/>
      <c r="E10" s="59"/>
      <c r="F10" s="65" t="s">
        <v>62</v>
      </c>
    </row>
    <row r="11" spans="1:6" ht="18" customHeight="1" x14ac:dyDescent="0.2">
      <c r="F11" s="53"/>
    </row>
    <row r="12" spans="1:6" ht="18" customHeight="1" x14ac:dyDescent="0.3">
      <c r="A12" s="125" t="s">
        <v>18</v>
      </c>
      <c r="B12" s="125"/>
      <c r="C12" s="125"/>
      <c r="D12" s="125"/>
      <c r="E12" s="125"/>
      <c r="F12" s="125"/>
    </row>
    <row r="13" spans="1:6" ht="18" customHeight="1" x14ac:dyDescent="0.3">
      <c r="A13" s="125" t="s">
        <v>66</v>
      </c>
      <c r="B13" s="125"/>
      <c r="C13" s="125"/>
      <c r="D13" s="125"/>
      <c r="E13" s="125"/>
      <c r="F13" s="125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145" t="s">
        <v>73</v>
      </c>
      <c r="B15" s="146"/>
      <c r="C15" s="146"/>
      <c r="D15" s="146"/>
      <c r="E15" s="146"/>
      <c r="F15" s="146"/>
    </row>
    <row r="16" spans="1:6" ht="15.75" customHeight="1" x14ac:dyDescent="0.2">
      <c r="A16" s="147"/>
      <c r="B16" s="147"/>
      <c r="C16" s="147"/>
      <c r="D16" s="147"/>
      <c r="E16" s="147"/>
      <c r="F16" s="147"/>
    </row>
    <row r="17" spans="1:11" s="72" customFormat="1" ht="25.5" customHeight="1" thickBot="1" x14ac:dyDescent="0.3">
      <c r="A17" s="148" t="s">
        <v>68</v>
      </c>
      <c r="B17" s="10"/>
      <c r="C17" s="10"/>
      <c r="D17" s="10"/>
      <c r="E17" s="10"/>
      <c r="F17" s="10"/>
      <c r="H17" s="96"/>
      <c r="I17" s="96"/>
      <c r="J17" s="96"/>
      <c r="K17" s="96"/>
    </row>
    <row r="18" spans="1:11" s="72" customFormat="1" ht="17.25" thickBot="1" x14ac:dyDescent="0.3">
      <c r="A18" s="129" t="str">
        <f>CONCATENATE("1. Проложение теодолитного хода")</f>
        <v>1. Проложение теодолитного хода</v>
      </c>
      <c r="B18" s="130"/>
      <c r="C18" s="94">
        <v>0.8</v>
      </c>
      <c r="D18" s="95" t="s">
        <v>24</v>
      </c>
      <c r="E18" s="18" t="s">
        <v>0</v>
      </c>
      <c r="F18" s="11"/>
      <c r="G18" s="97"/>
      <c r="H18" s="96"/>
      <c r="I18" s="96"/>
      <c r="J18" s="96"/>
      <c r="K18" s="96"/>
    </row>
    <row r="19" spans="1:11" s="72" customFormat="1" ht="18" customHeight="1" x14ac:dyDescent="0.25">
      <c r="A19" s="12" t="s">
        <v>1</v>
      </c>
      <c r="B19" s="19" t="s">
        <v>2</v>
      </c>
      <c r="C19" s="13">
        <v>1276</v>
      </c>
      <c r="D19" s="20" t="s">
        <v>25</v>
      </c>
      <c r="E19" s="19"/>
      <c r="F19" s="21"/>
      <c r="G19" s="97"/>
      <c r="H19" s="96"/>
      <c r="I19" s="96"/>
      <c r="J19" s="96"/>
      <c r="K19" s="96"/>
    </row>
    <row r="20" spans="1:11" s="72" customFormat="1" ht="22.5" customHeight="1" x14ac:dyDescent="0.25">
      <c r="A20" s="22">
        <v>2</v>
      </c>
      <c r="B20" s="23" t="s">
        <v>4</v>
      </c>
      <c r="C20" s="14">
        <v>293</v>
      </c>
      <c r="D20" s="131" t="s">
        <v>26</v>
      </c>
      <c r="E20" s="132"/>
      <c r="F20" s="25"/>
      <c r="G20" s="98"/>
      <c r="H20" s="96"/>
      <c r="I20" s="96"/>
      <c r="J20" s="96"/>
      <c r="K20" s="96"/>
    </row>
    <row r="21" spans="1:11" s="72" customFormat="1" ht="18" customHeight="1" x14ac:dyDescent="0.25">
      <c r="A21" s="15" t="s">
        <v>27</v>
      </c>
      <c r="B21" s="23" t="s">
        <v>5</v>
      </c>
      <c r="C21" s="26">
        <f>SUM(1,0.08*(E21-3))</f>
        <v>1.4</v>
      </c>
      <c r="D21" s="24" t="s">
        <v>6</v>
      </c>
      <c r="E21" s="16">
        <v>8</v>
      </c>
      <c r="F21" s="25"/>
      <c r="G21" s="99"/>
      <c r="H21" s="96"/>
      <c r="I21" s="96"/>
      <c r="J21" s="96"/>
      <c r="K21" s="96"/>
    </row>
    <row r="22" spans="1:11" s="72" customFormat="1" ht="17.25" customHeight="1" x14ac:dyDescent="0.25">
      <c r="A22" s="15" t="s">
        <v>28</v>
      </c>
      <c r="B22" s="23" t="s">
        <v>7</v>
      </c>
      <c r="C22" s="26">
        <f>SUM(1,-0.04*(15-E22))</f>
        <v>0.43200000000000005</v>
      </c>
      <c r="D22" s="24" t="s">
        <v>8</v>
      </c>
      <c r="E22" s="26">
        <f>C18</f>
        <v>0.8</v>
      </c>
      <c r="F22" s="25"/>
      <c r="G22" s="66"/>
      <c r="H22" s="96"/>
      <c r="I22" s="96"/>
      <c r="J22" s="96"/>
      <c r="K22" s="96"/>
    </row>
    <row r="23" spans="1:11" s="72" customFormat="1" ht="14.25" customHeight="1" x14ac:dyDescent="0.25">
      <c r="A23" s="15" t="s">
        <v>29</v>
      </c>
      <c r="B23" s="27" t="s">
        <v>7</v>
      </c>
      <c r="C23" s="100">
        <v>0.4</v>
      </c>
      <c r="D23" s="27" t="s">
        <v>30</v>
      </c>
      <c r="E23" s="16"/>
      <c r="F23" s="46"/>
      <c r="G23" s="96"/>
      <c r="H23" s="96"/>
      <c r="I23" s="96"/>
      <c r="J23" s="96"/>
      <c r="K23" s="96"/>
    </row>
    <row r="24" spans="1:11" s="72" customFormat="1" ht="15.75" x14ac:dyDescent="0.25">
      <c r="A24" s="15" t="s">
        <v>31</v>
      </c>
      <c r="B24" s="23" t="s">
        <v>10</v>
      </c>
      <c r="C24" s="23">
        <v>2.2200000000000002</v>
      </c>
      <c r="D24" s="24" t="s">
        <v>11</v>
      </c>
      <c r="E24" s="23"/>
      <c r="F24" s="25"/>
      <c r="G24" s="96"/>
      <c r="H24" s="96"/>
      <c r="I24" s="96"/>
      <c r="J24" s="96"/>
      <c r="K24" s="96"/>
    </row>
    <row r="25" spans="1:11" s="72" customFormat="1" ht="15.75" customHeight="1" x14ac:dyDescent="0.25">
      <c r="A25" s="15" t="s">
        <v>32</v>
      </c>
      <c r="B25" s="27"/>
      <c r="C25" s="28"/>
      <c r="D25" s="29"/>
      <c r="E25" s="29"/>
      <c r="F25" s="30">
        <f>ROUND((C19*C22*C23)+(C20*C18*C21),2)</f>
        <v>548.65</v>
      </c>
      <c r="G25" s="96"/>
      <c r="H25" s="96"/>
      <c r="I25" s="96"/>
      <c r="J25" s="96"/>
      <c r="K25" s="96"/>
    </row>
    <row r="26" spans="1:11" s="72" customFormat="1" ht="29.25" customHeight="1" thickBot="1" x14ac:dyDescent="0.35">
      <c r="A26" s="15" t="str">
        <f>CONCATENATE("C=","(",C19,"*",C22,"*",C23,"+",C20,"*",C18,"*",C21,")","*",C24,)</f>
        <v>C=(1276*0,432*0,4+293*0,8*1,4)*2,22</v>
      </c>
      <c r="B26" s="31"/>
      <c r="C26" s="31"/>
      <c r="D26" s="31"/>
      <c r="E26" s="31"/>
      <c r="F26" s="90">
        <f>ROUND(PRODUCT(F25,C24,),2)</f>
        <v>1218</v>
      </c>
      <c r="G26" s="96"/>
    </row>
    <row r="27" spans="1:11" s="72" customFormat="1" ht="17.25" thickBot="1" x14ac:dyDescent="0.3">
      <c r="A27" s="129" t="str">
        <f>CONCATENATE("2. Установление границ землепользования ",C27," км")</f>
        <v>2. Установление границ землепользования 0,01 км</v>
      </c>
      <c r="B27" s="130"/>
      <c r="C27" s="149">
        <v>0.01</v>
      </c>
      <c r="D27" s="17" t="s">
        <v>33</v>
      </c>
      <c r="E27" s="18" t="s">
        <v>0</v>
      </c>
      <c r="F27" s="11"/>
      <c r="G27" s="96"/>
    </row>
    <row r="28" spans="1:11" s="72" customFormat="1" ht="33" customHeight="1" x14ac:dyDescent="0.25">
      <c r="A28" s="12" t="s">
        <v>1</v>
      </c>
      <c r="B28" s="19" t="s">
        <v>2</v>
      </c>
      <c r="C28" s="13">
        <v>1229</v>
      </c>
      <c r="D28" s="20" t="s">
        <v>3</v>
      </c>
      <c r="E28" s="19"/>
      <c r="F28" s="21"/>
      <c r="G28" s="96"/>
    </row>
    <row r="29" spans="1:11" s="72" customFormat="1" ht="16.5" customHeight="1" x14ac:dyDescent="0.25">
      <c r="A29" s="22">
        <v>2</v>
      </c>
      <c r="B29" s="23" t="s">
        <v>4</v>
      </c>
      <c r="C29" s="14">
        <v>241</v>
      </c>
      <c r="D29" s="24" t="s">
        <v>34</v>
      </c>
      <c r="E29" s="23"/>
      <c r="F29" s="25"/>
      <c r="G29" s="96"/>
    </row>
    <row r="30" spans="1:11" s="72" customFormat="1" ht="15.75" x14ac:dyDescent="0.25">
      <c r="A30" s="15" t="s">
        <v>35</v>
      </c>
      <c r="B30" s="23" t="s">
        <v>5</v>
      </c>
      <c r="C30" s="26">
        <f>SUM(1,0.08*(E30-3))</f>
        <v>1.08</v>
      </c>
      <c r="D30" s="24" t="s">
        <v>6</v>
      </c>
      <c r="E30" s="16">
        <v>4</v>
      </c>
      <c r="F30" s="25"/>
      <c r="G30" s="96"/>
    </row>
    <row r="31" spans="1:11" s="72" customFormat="1" ht="12.75" customHeight="1" x14ac:dyDescent="0.25">
      <c r="A31" s="15" t="s">
        <v>36</v>
      </c>
      <c r="B31" s="23" t="s">
        <v>7</v>
      </c>
      <c r="C31" s="26">
        <f>SUM(1,-0.06*(15-E31))</f>
        <v>0.10060000000000002</v>
      </c>
      <c r="D31" s="24" t="s">
        <v>8</v>
      </c>
      <c r="E31" s="26">
        <f>C27</f>
        <v>0.01</v>
      </c>
      <c r="F31" s="25"/>
    </row>
    <row r="32" spans="1:11" s="72" customFormat="1" ht="16.5" customHeight="1" x14ac:dyDescent="0.25">
      <c r="A32" s="15" t="s">
        <v>31</v>
      </c>
      <c r="B32" s="23" t="s">
        <v>10</v>
      </c>
      <c r="C32" s="23">
        <v>2.2200000000000002</v>
      </c>
      <c r="D32" s="24" t="s">
        <v>11</v>
      </c>
      <c r="E32" s="23"/>
      <c r="F32" s="25"/>
    </row>
    <row r="33" spans="1:6" s="72" customFormat="1" ht="12" customHeight="1" x14ac:dyDescent="0.25">
      <c r="A33" s="15" t="s">
        <v>12</v>
      </c>
      <c r="B33" s="27"/>
      <c r="C33" s="28"/>
      <c r="D33" s="29"/>
      <c r="E33" s="29"/>
      <c r="F33" s="30">
        <f>ROUND((C28*C31)+(C29*C27*C30),2)</f>
        <v>126.24</v>
      </c>
    </row>
    <row r="34" spans="1:6" s="72" customFormat="1" ht="17.25" customHeight="1" thickBot="1" x14ac:dyDescent="0.35">
      <c r="A34" s="15" t="str">
        <f>CONCATENATE("C=","(",C28,"*",C31,"+",C29,"*",C27,"*",C30,")","*",C32,)</f>
        <v>C=(1229*0,1006+241*0,01*1,08)*2,22</v>
      </c>
      <c r="B34" s="31"/>
      <c r="C34" s="31"/>
      <c r="D34" s="31"/>
      <c r="E34" s="31"/>
      <c r="F34" s="90">
        <f>ROUND(PRODUCT(F33,C32),2)</f>
        <v>280.25</v>
      </c>
    </row>
    <row r="35" spans="1:6" s="72" customFormat="1" ht="33.75" thickBot="1" x14ac:dyDescent="0.25">
      <c r="A35" s="32" t="s">
        <v>67</v>
      </c>
      <c r="B35" s="101"/>
      <c r="C35" s="151">
        <f>0.25/1000</f>
        <v>2.5000000000000001E-4</v>
      </c>
      <c r="D35" s="102" t="s">
        <v>37</v>
      </c>
      <c r="E35" s="8" t="s">
        <v>0</v>
      </c>
      <c r="F35" s="103"/>
    </row>
    <row r="36" spans="1:6" s="72" customFormat="1" ht="15.75" x14ac:dyDescent="0.25">
      <c r="A36" s="33"/>
      <c r="B36" s="75" t="s">
        <v>2</v>
      </c>
      <c r="C36" s="75">
        <v>56</v>
      </c>
      <c r="D36" s="67" t="s">
        <v>3</v>
      </c>
      <c r="E36" s="104"/>
      <c r="F36" s="105"/>
    </row>
    <row r="37" spans="1:6" s="72" customFormat="1" ht="15.75" x14ac:dyDescent="0.25">
      <c r="A37" s="34"/>
      <c r="B37" s="70" t="s">
        <v>4</v>
      </c>
      <c r="C37" s="75">
        <v>34</v>
      </c>
      <c r="D37" s="69" t="s">
        <v>38</v>
      </c>
      <c r="E37" s="104"/>
      <c r="F37" s="105"/>
    </row>
    <row r="38" spans="1:6" s="72" customFormat="1" ht="17.25" customHeight="1" x14ac:dyDescent="0.25">
      <c r="A38" s="74" t="s">
        <v>39</v>
      </c>
      <c r="B38" s="75" t="s">
        <v>7</v>
      </c>
      <c r="C38" s="3">
        <f>ROUND(SUM(1,-0.9*(1-E38)),2)</f>
        <v>0.1</v>
      </c>
      <c r="D38" s="75" t="s">
        <v>8</v>
      </c>
      <c r="E38" s="152">
        <f>C35</f>
        <v>2.5000000000000001E-4</v>
      </c>
      <c r="F38" s="105"/>
    </row>
    <row r="39" spans="1:6" s="72" customFormat="1" ht="15.75" x14ac:dyDescent="0.25">
      <c r="A39" s="74" t="s">
        <v>40</v>
      </c>
      <c r="B39" s="106" t="s">
        <v>5</v>
      </c>
      <c r="C39" s="84">
        <f>ROUND(SUM(1,-0.7*(1-E39)),2)</f>
        <v>0.3</v>
      </c>
      <c r="D39" s="75" t="s">
        <v>13</v>
      </c>
      <c r="E39" s="152">
        <f>E38</f>
        <v>2.5000000000000001E-4</v>
      </c>
      <c r="F39" s="105"/>
    </row>
    <row r="40" spans="1:6" s="72" customFormat="1" ht="15.75" x14ac:dyDescent="0.25">
      <c r="A40" s="107" t="s">
        <v>31</v>
      </c>
      <c r="B40" s="80" t="s">
        <v>10</v>
      </c>
      <c r="C40" s="75">
        <v>2.2200000000000002</v>
      </c>
      <c r="D40" s="108" t="s">
        <v>11</v>
      </c>
      <c r="E40" s="80"/>
      <c r="F40" s="105"/>
    </row>
    <row r="41" spans="1:6" s="72" customFormat="1" ht="15.75" x14ac:dyDescent="0.25">
      <c r="A41" s="77" t="s">
        <v>12</v>
      </c>
      <c r="B41" s="109"/>
      <c r="C41" s="104"/>
      <c r="D41" s="104"/>
      <c r="E41" s="104"/>
      <c r="F41" s="71">
        <f>(C36*C38)+(C37*C295)</f>
        <v>5.6000000000000005</v>
      </c>
    </row>
    <row r="42" spans="1:6" s="72" customFormat="1" ht="17.25" thickBot="1" x14ac:dyDescent="0.35">
      <c r="A42" s="78" t="str">
        <f>CONCATENATE("C=","(",C36,"*",C38,"+",C37,"*",C39,")","*",C40,)</f>
        <v>C=(56*0,1+34*0,3)*2,22</v>
      </c>
      <c r="B42" s="110"/>
      <c r="C42" s="110"/>
      <c r="D42" s="110"/>
      <c r="E42" s="111"/>
      <c r="F42" s="112">
        <f>ROUND(PRODUCT(F41,C40,),2)</f>
        <v>12.43</v>
      </c>
    </row>
    <row r="43" spans="1:6" s="72" customFormat="1" ht="33" customHeight="1" thickBot="1" x14ac:dyDescent="0.25">
      <c r="A43" s="129" t="s">
        <v>48</v>
      </c>
      <c r="B43" s="130"/>
      <c r="C43" s="149">
        <f>C27</f>
        <v>0.01</v>
      </c>
      <c r="D43" s="52" t="s">
        <v>41</v>
      </c>
      <c r="E43" s="35" t="s">
        <v>0</v>
      </c>
      <c r="F43" s="36"/>
    </row>
    <row r="44" spans="1:6" s="72" customFormat="1" ht="13.5" x14ac:dyDescent="0.25">
      <c r="A44" s="37"/>
      <c r="B44" s="38" t="s">
        <v>2</v>
      </c>
      <c r="C44" s="38">
        <v>882</v>
      </c>
      <c r="D44" s="20" t="s">
        <v>3</v>
      </c>
      <c r="E44" s="38"/>
      <c r="F44" s="39"/>
    </row>
    <row r="45" spans="1:6" s="72" customFormat="1" ht="13.5" x14ac:dyDescent="0.25">
      <c r="A45" s="40"/>
      <c r="B45" s="27" t="s">
        <v>4</v>
      </c>
      <c r="C45" s="27">
        <v>11</v>
      </c>
      <c r="D45" s="24" t="s">
        <v>34</v>
      </c>
      <c r="E45" s="27"/>
      <c r="F45" s="41"/>
    </row>
    <row r="46" spans="1:6" s="72" customFormat="1" ht="13.5" x14ac:dyDescent="0.25">
      <c r="A46" s="42" t="s">
        <v>42</v>
      </c>
      <c r="B46" s="27" t="s">
        <v>43</v>
      </c>
      <c r="C46" s="43">
        <v>1</v>
      </c>
      <c r="D46" s="27" t="s">
        <v>6</v>
      </c>
      <c r="E46" s="27"/>
      <c r="F46" s="41"/>
    </row>
    <row r="47" spans="1:6" s="72" customFormat="1" ht="13.5" x14ac:dyDescent="0.25">
      <c r="A47" s="44" t="s">
        <v>44</v>
      </c>
      <c r="B47" s="27" t="s">
        <v>7</v>
      </c>
      <c r="C47" s="43">
        <f>ROUND(SUM(1,-0.02*(40-E47)),2)</f>
        <v>0.2</v>
      </c>
      <c r="D47" s="27" t="s">
        <v>8</v>
      </c>
      <c r="E47" s="150">
        <f>C43</f>
        <v>0.01</v>
      </c>
      <c r="F47" s="41"/>
    </row>
    <row r="48" spans="1:6" s="72" customFormat="1" ht="13.5" x14ac:dyDescent="0.25">
      <c r="A48" s="15" t="s">
        <v>45</v>
      </c>
      <c r="B48" s="27" t="s">
        <v>5</v>
      </c>
      <c r="C48" s="45">
        <f>ROUND(SUM(1,0.05*(E48-1)),2)</f>
        <v>1.1499999999999999</v>
      </c>
      <c r="D48" s="27" t="s">
        <v>9</v>
      </c>
      <c r="E48" s="16">
        <v>4</v>
      </c>
      <c r="F48" s="41"/>
    </row>
    <row r="49" spans="1:6" s="72" customFormat="1" ht="13.5" x14ac:dyDescent="0.25">
      <c r="A49" s="15" t="s">
        <v>31</v>
      </c>
      <c r="B49" s="23" t="s">
        <v>10</v>
      </c>
      <c r="C49" s="23">
        <v>2.2200000000000002</v>
      </c>
      <c r="D49" s="24" t="s">
        <v>11</v>
      </c>
      <c r="E49" s="23"/>
      <c r="F49" s="25"/>
    </row>
    <row r="50" spans="1:6" s="72" customFormat="1" ht="13.5" x14ac:dyDescent="0.25">
      <c r="A50" s="44" t="s">
        <v>12</v>
      </c>
      <c r="B50" s="27"/>
      <c r="C50" s="27"/>
      <c r="D50" s="27"/>
      <c r="E50" s="27"/>
      <c r="F50" s="30">
        <f>ROUND((C44*C47)+(C45*C43*C48),2)</f>
        <v>176.53</v>
      </c>
    </row>
    <row r="51" spans="1:6" s="72" customFormat="1" ht="17.25" thickBot="1" x14ac:dyDescent="0.35">
      <c r="A51" s="47" t="str">
        <f>CONCATENATE("C=","(",C44,"*",C46,"*",C47,"+",C45,"*",C43,"*",C46,"*",C48,")","*",C49)</f>
        <v>C=(882*1*0,2+11*0,01*1*1,15)*2,22</v>
      </c>
      <c r="B51" s="48"/>
      <c r="C51" s="48"/>
      <c r="D51" s="48"/>
      <c r="E51" s="49"/>
      <c r="F51" s="90">
        <f>ROUND(PRODUCT(F50,C49,),2)</f>
        <v>391.9</v>
      </c>
    </row>
    <row r="52" spans="1:6" s="72" customFormat="1" ht="17.25" thickBot="1" x14ac:dyDescent="0.3">
      <c r="A52" s="129" t="str">
        <f>CONCATENATE("5. Подготовка межевых планов ")</f>
        <v xml:space="preserve">5. Подготовка межевых планов </v>
      </c>
      <c r="B52" s="130"/>
      <c r="C52" s="151">
        <f>0.25/1000</f>
        <v>2.5000000000000001E-4</v>
      </c>
      <c r="D52" s="102" t="s">
        <v>14</v>
      </c>
      <c r="E52" s="8"/>
      <c r="F52" s="79"/>
    </row>
    <row r="53" spans="1:6" s="72" customFormat="1" ht="25.5" customHeight="1" x14ac:dyDescent="0.25">
      <c r="A53" s="33">
        <f>1</f>
        <v>1</v>
      </c>
      <c r="B53" s="80" t="s">
        <v>2</v>
      </c>
      <c r="C53" s="80">
        <v>1363</v>
      </c>
      <c r="D53" s="80"/>
      <c r="E53" s="113"/>
      <c r="F53" s="81"/>
    </row>
    <row r="54" spans="1:6" s="72" customFormat="1" ht="15.75" x14ac:dyDescent="0.25">
      <c r="A54" s="5"/>
      <c r="B54" s="70" t="s">
        <v>4</v>
      </c>
      <c r="C54" s="70">
        <v>3431</v>
      </c>
      <c r="D54" s="70" t="s">
        <v>69</v>
      </c>
      <c r="E54" s="87"/>
      <c r="F54" s="82"/>
    </row>
    <row r="55" spans="1:6" s="72" customFormat="1" ht="15.75" x14ac:dyDescent="0.25">
      <c r="A55" s="114" t="s">
        <v>47</v>
      </c>
      <c r="B55" s="70"/>
      <c r="C55" s="70"/>
      <c r="D55" s="70"/>
      <c r="E55" s="87"/>
      <c r="F55" s="82"/>
    </row>
    <row r="56" spans="1:6" s="72" customFormat="1" ht="15.75" x14ac:dyDescent="0.25">
      <c r="A56" s="115" t="s">
        <v>70</v>
      </c>
      <c r="B56" s="70" t="s">
        <v>7</v>
      </c>
      <c r="C56" s="83">
        <f>ROUND(SUM(1,-0.9*(1-E56)),2)</f>
        <v>0.1</v>
      </c>
      <c r="D56" s="70" t="s">
        <v>8</v>
      </c>
      <c r="E56" s="153">
        <f>C52</f>
        <v>2.5000000000000001E-4</v>
      </c>
      <c r="F56" s="82"/>
    </row>
    <row r="57" spans="1:6" s="72" customFormat="1" ht="15.75" x14ac:dyDescent="0.25">
      <c r="A57" s="116" t="s">
        <v>20</v>
      </c>
      <c r="B57" s="70" t="s">
        <v>5</v>
      </c>
      <c r="C57" s="117">
        <v>3.5</v>
      </c>
      <c r="D57" s="70" t="s">
        <v>21</v>
      </c>
      <c r="E57" s="7"/>
      <c r="F57" s="76"/>
    </row>
    <row r="58" spans="1:6" s="72" customFormat="1" ht="15" customHeight="1" x14ac:dyDescent="0.25">
      <c r="A58" s="73" t="s">
        <v>22</v>
      </c>
      <c r="B58" s="4" t="s">
        <v>10</v>
      </c>
      <c r="C58" s="4">
        <v>2.2200000000000002</v>
      </c>
      <c r="D58" s="69" t="s">
        <v>11</v>
      </c>
      <c r="E58" s="4"/>
      <c r="F58" s="68"/>
    </row>
    <row r="59" spans="1:6" s="72" customFormat="1" ht="15.75" x14ac:dyDescent="0.25">
      <c r="A59" s="85" t="s">
        <v>23</v>
      </c>
      <c r="B59" s="86"/>
      <c r="C59" s="87"/>
      <c r="D59" s="87"/>
      <c r="E59" s="87"/>
      <c r="F59" s="71">
        <f>ROUND((C53*C56)+(C54*C52*C57),2)</f>
        <v>139.30000000000001</v>
      </c>
    </row>
    <row r="60" spans="1:6" s="72" customFormat="1" ht="17.25" customHeight="1" thickBot="1" x14ac:dyDescent="0.35">
      <c r="A60" s="73" t="str">
        <f>CONCATENATE("C=","(",C53,"*",C56,"+",C54,"*",C52,"*",C57,")*",C58,"")</f>
        <v>C=(1363*0,1+3431*0,00025*3,5)*2,22</v>
      </c>
      <c r="B60" s="88"/>
      <c r="C60" s="88"/>
      <c r="D60" s="88"/>
      <c r="E60" s="89"/>
      <c r="F60" s="90">
        <f>ROUND(PRODUCT(F59*C58),2)</f>
        <v>309.25</v>
      </c>
    </row>
    <row r="61" spans="1:6" s="72" customFormat="1" ht="17.25" customHeight="1" thickBot="1" x14ac:dyDescent="0.35">
      <c r="A61" s="133" t="str">
        <f>CONCATENATE("С=",F26,"+",F42,"+",F34,"+",F51,"+",F60,)</f>
        <v>С=1218+12,43+280,25+391,9+309,25</v>
      </c>
      <c r="B61" s="134"/>
      <c r="C61" s="134"/>
      <c r="D61" s="134"/>
      <c r="E61" s="135"/>
      <c r="F61" s="90">
        <f>F26+F34+F42+F51+F60</f>
        <v>2211.83</v>
      </c>
    </row>
    <row r="62" spans="1:6" s="72" customFormat="1" ht="25.5" customHeight="1" thickBot="1" x14ac:dyDescent="0.35">
      <c r="A62" s="136" t="s">
        <v>19</v>
      </c>
      <c r="B62" s="137"/>
      <c r="C62" s="138"/>
      <c r="D62" s="139">
        <f>12.930605</f>
        <v>12.930605</v>
      </c>
      <c r="E62" s="140"/>
      <c r="F62" s="118">
        <f>F61*D62</f>
        <v>28600.300057149998</v>
      </c>
    </row>
    <row r="63" spans="1:6" s="72" customFormat="1" ht="31.5" customHeight="1" thickBot="1" x14ac:dyDescent="0.35">
      <c r="A63" s="136" t="s">
        <v>71</v>
      </c>
      <c r="B63" s="137"/>
      <c r="C63" s="137"/>
      <c r="D63" s="137"/>
      <c r="E63" s="50">
        <v>2400</v>
      </c>
      <c r="F63" s="90">
        <f>E63*2</f>
        <v>4800</v>
      </c>
    </row>
    <row r="64" spans="1:6" s="72" customFormat="1" ht="18" customHeight="1" thickBot="1" x14ac:dyDescent="0.35">
      <c r="A64" s="51" t="s">
        <v>15</v>
      </c>
      <c r="B64" s="121"/>
      <c r="C64" s="121"/>
      <c r="D64" s="121"/>
      <c r="E64" s="121"/>
      <c r="F64" s="90">
        <f>F62+F63</f>
        <v>33400.300057150002</v>
      </c>
    </row>
    <row r="65" spans="1:6" s="72" customFormat="1" ht="18.75" customHeight="1" thickBot="1" x14ac:dyDescent="0.35">
      <c r="A65" s="136" t="s">
        <v>46</v>
      </c>
      <c r="B65" s="137"/>
      <c r="C65" s="137"/>
      <c r="D65" s="138"/>
      <c r="E65" s="119">
        <v>0.25</v>
      </c>
      <c r="F65" s="90">
        <f>F64*E65</f>
        <v>8350.0750142875004</v>
      </c>
    </row>
    <row r="66" spans="1:6" s="72" customFormat="1" ht="17.25" customHeight="1" thickBot="1" x14ac:dyDescent="0.35">
      <c r="A66" s="51" t="s">
        <v>15</v>
      </c>
      <c r="B66" s="121"/>
      <c r="C66" s="121"/>
      <c r="D66" s="121"/>
      <c r="E66" s="121"/>
      <c r="F66" s="90">
        <f>F64+F65</f>
        <v>41750.375071437506</v>
      </c>
    </row>
    <row r="67" spans="1:6" s="72" customFormat="1" ht="17.25" thickBot="1" x14ac:dyDescent="0.35">
      <c r="A67" s="91" t="s">
        <v>16</v>
      </c>
      <c r="B67" s="120"/>
      <c r="C67" s="120"/>
      <c r="D67" s="120"/>
      <c r="E67" s="119">
        <v>0.18</v>
      </c>
      <c r="F67" s="90">
        <f>F66*E67</f>
        <v>7515.0675128587509</v>
      </c>
    </row>
    <row r="68" spans="1:6" s="72" customFormat="1" ht="17.25" thickBot="1" x14ac:dyDescent="0.35">
      <c r="A68" s="122" t="s">
        <v>17</v>
      </c>
      <c r="B68" s="123"/>
      <c r="C68" s="123"/>
      <c r="D68" s="123"/>
      <c r="E68" s="124"/>
      <c r="F68" s="90">
        <f>F66+F67</f>
        <v>49265.442584296259</v>
      </c>
    </row>
    <row r="69" spans="1:6" s="72" customFormat="1" ht="21.75" customHeight="1" x14ac:dyDescent="0.25">
      <c r="A69" s="10"/>
      <c r="B69" s="10"/>
      <c r="C69" s="10"/>
      <c r="D69" s="10"/>
      <c r="E69" s="10"/>
      <c r="F69" s="10"/>
    </row>
    <row r="70" spans="1:6" s="72" customFormat="1" ht="13.5" x14ac:dyDescent="0.2">
      <c r="A70" s="141" t="s">
        <v>72</v>
      </c>
      <c r="B70" s="142"/>
      <c r="C70" s="142"/>
      <c r="D70" s="142"/>
      <c r="E70" s="142"/>
      <c r="F70" s="142"/>
    </row>
    <row r="71" spans="1:6" ht="15.75" x14ac:dyDescent="0.25">
      <c r="A71" s="6"/>
      <c r="B71" s="2"/>
      <c r="C71" s="2"/>
      <c r="D71" s="2"/>
      <c r="E71" s="2"/>
      <c r="F71" s="2"/>
    </row>
    <row r="72" spans="1:6" x14ac:dyDescent="0.2">
      <c r="A72" s="143" t="s">
        <v>63</v>
      </c>
      <c r="B72" s="143"/>
      <c r="C72" s="143"/>
      <c r="D72" s="143"/>
      <c r="E72" s="143"/>
      <c r="F72" s="143"/>
    </row>
    <row r="73" spans="1:6" x14ac:dyDescent="0.2">
      <c r="A73" s="144" t="s">
        <v>64</v>
      </c>
      <c r="B73" s="144"/>
      <c r="C73" s="144"/>
      <c r="D73" s="144"/>
      <c r="E73" s="144"/>
      <c r="F73" s="144"/>
    </row>
    <row r="74" spans="1:6" x14ac:dyDescent="0.2">
      <c r="A74" s="58"/>
      <c r="B74" s="92"/>
      <c r="C74" s="57"/>
      <c r="D74" s="58"/>
      <c r="E74" s="93"/>
      <c r="F74" s="93"/>
    </row>
    <row r="75" spans="1:6" x14ac:dyDescent="0.2">
      <c r="A75" s="143" t="s">
        <v>65</v>
      </c>
      <c r="B75" s="143"/>
      <c r="C75" s="143"/>
      <c r="D75" s="143"/>
      <c r="E75" s="143"/>
      <c r="F75" s="143"/>
    </row>
    <row r="76" spans="1:6" x14ac:dyDescent="0.2">
      <c r="A76" s="144" t="s">
        <v>64</v>
      </c>
      <c r="B76" s="144"/>
      <c r="C76" s="144"/>
      <c r="D76" s="144"/>
      <c r="E76" s="144"/>
      <c r="F76" s="144"/>
    </row>
    <row r="77" spans="1:6" ht="15.75" x14ac:dyDescent="0.25">
      <c r="A77" s="2"/>
      <c r="B77" s="2"/>
      <c r="C77" s="2"/>
      <c r="D77" s="2"/>
      <c r="E77" s="2"/>
      <c r="F77" s="2"/>
    </row>
    <row r="78" spans="1:6" ht="15.75" x14ac:dyDescent="0.25">
      <c r="A78" s="2"/>
      <c r="B78" s="2"/>
      <c r="C78" s="2"/>
      <c r="D78" s="2"/>
      <c r="E78" s="2"/>
      <c r="F78" s="2"/>
    </row>
    <row r="79" spans="1:6" ht="15.75" x14ac:dyDescent="0.25">
      <c r="A79" s="2"/>
      <c r="B79" s="2"/>
      <c r="C79" s="2"/>
      <c r="D79" s="2"/>
      <c r="E79" s="2"/>
      <c r="F79" s="2"/>
    </row>
    <row r="80" spans="1:6" ht="15.75" x14ac:dyDescent="0.25">
      <c r="A80" s="2"/>
      <c r="B80" s="2"/>
      <c r="C80" s="2"/>
      <c r="D80" s="2"/>
      <c r="E80" s="2"/>
      <c r="F80" s="2"/>
    </row>
    <row r="81" spans="1:6" ht="15.75" x14ac:dyDescent="0.25">
      <c r="A81" s="2"/>
      <c r="B81" s="2"/>
      <c r="C81" s="2"/>
      <c r="D81" s="2"/>
      <c r="E81" s="2"/>
      <c r="F81" s="2"/>
    </row>
    <row r="82" spans="1:6" ht="15.75" x14ac:dyDescent="0.25">
      <c r="A82" s="2"/>
      <c r="B82" s="2"/>
      <c r="C82" s="2"/>
      <c r="D82" s="2"/>
      <c r="E82" s="2"/>
      <c r="F82" s="2"/>
    </row>
    <row r="83" spans="1:6" ht="15.75" x14ac:dyDescent="0.25">
      <c r="A83" s="2"/>
      <c r="B83" s="2"/>
      <c r="C83" s="2"/>
      <c r="D83" s="2"/>
      <c r="E83" s="2"/>
      <c r="F83" s="2"/>
    </row>
    <row r="84" spans="1:6" ht="15.75" x14ac:dyDescent="0.25">
      <c r="A84" s="2"/>
      <c r="B84" s="2"/>
      <c r="C84" s="2"/>
      <c r="D84" s="2"/>
      <c r="E84" s="2"/>
    </row>
    <row r="85" spans="1:6" ht="15.75" x14ac:dyDescent="0.25">
      <c r="A85" s="2"/>
    </row>
  </sheetData>
  <mergeCells count="20">
    <mergeCell ref="A70:F70"/>
    <mergeCell ref="A72:F72"/>
    <mergeCell ref="A73:F73"/>
    <mergeCell ref="A75:F75"/>
    <mergeCell ref="A76:F76"/>
    <mergeCell ref="A13:F13"/>
    <mergeCell ref="C1:F1"/>
    <mergeCell ref="C2:F2"/>
    <mergeCell ref="A12:F12"/>
    <mergeCell ref="A15:F15"/>
    <mergeCell ref="A18:B18"/>
    <mergeCell ref="D20:E20"/>
    <mergeCell ref="A27:B27"/>
    <mergeCell ref="A43:B43"/>
    <mergeCell ref="A52:B52"/>
    <mergeCell ref="A61:E61"/>
    <mergeCell ref="A62:C62"/>
    <mergeCell ref="D62:E62"/>
    <mergeCell ref="A63:D63"/>
    <mergeCell ref="A65:D65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п.4.3 - этап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2014-11-11T05:19:25Z</cp:lastPrinted>
  <dcterms:created xsi:type="dcterms:W3CDTF">2011-10-12T06:33:52Z</dcterms:created>
  <dcterms:modified xsi:type="dcterms:W3CDTF">2014-11-11T06:27:58Z</dcterms:modified>
</cp:coreProperties>
</file>