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 - этап 3" sheetId="33" r:id="rId1"/>
  </sheets>
  <calcPr calcId="144525"/>
</workbook>
</file>

<file path=xl/calcChain.xml><?xml version="1.0" encoding="utf-8"?>
<calcChain xmlns="http://schemas.openxmlformats.org/spreadsheetml/2006/main">
  <c r="F64" i="33" l="1"/>
  <c r="D63" i="33"/>
  <c r="A54" i="33"/>
  <c r="C53" i="33"/>
  <c r="E57" i="33" s="1"/>
  <c r="C57" i="33" s="1"/>
  <c r="A53" i="33"/>
  <c r="C49" i="33"/>
  <c r="C48" i="33"/>
  <c r="C43" i="33"/>
  <c r="E47" i="33" s="1"/>
  <c r="C47" i="33" s="1"/>
  <c r="C35" i="33"/>
  <c r="E38" i="33" s="1"/>
  <c r="C31" i="33"/>
  <c r="E30" i="33"/>
  <c r="C30" i="33" s="1"/>
  <c r="F33" i="33" s="1"/>
  <c r="F34" i="33" s="1"/>
  <c r="C29" i="33"/>
  <c r="A26" i="33"/>
  <c r="E21" i="33"/>
  <c r="C21" i="33" s="1"/>
  <c r="C20" i="33"/>
  <c r="A17" i="33"/>
  <c r="F24" i="33" l="1"/>
  <c r="F25" i="33" s="1"/>
  <c r="A25" i="33"/>
  <c r="C38" i="33"/>
  <c r="E39" i="33"/>
  <c r="C39" i="33" s="1"/>
  <c r="F51" i="33"/>
  <c r="F52" i="33" s="1"/>
  <c r="A52" i="33"/>
  <c r="F60" i="33"/>
  <c r="F61" i="33" s="1"/>
  <c r="A61" i="33"/>
  <c r="A34" i="33"/>
  <c r="F41" i="33" l="1"/>
  <c r="F42" i="33" s="1"/>
  <c r="A42" i="33"/>
  <c r="F62" i="33"/>
  <c r="F63" i="33" s="1"/>
  <c r="F65" i="33" s="1"/>
  <c r="A62" i="33"/>
  <c r="F66" i="33" l="1"/>
  <c r="F67" i="33" s="1"/>
  <c r="F68" i="33" l="1"/>
  <c r="F69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52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61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<sst xmlns="http://schemas.openxmlformats.org/spreadsheetml/2006/main" count="124" uniqueCount="75">
  <si>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</si>
  <si>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</si>
  <si>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</si>
  <si>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</si>
  <si>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</si>
  <si>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</si>
  <si>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</si>
  <si>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</si>
  <si>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</si>
  <si>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Прим.4</t>
  </si>
  <si>
    <t>Прим.5</t>
  </si>
  <si>
    <t>Кприр.экон.</t>
  </si>
  <si>
    <t>П.14</t>
  </si>
  <si>
    <t>С=(а*x1+в*х2)*Кпр.эк.*Кврг=</t>
  </si>
  <si>
    <t>Прим.3</t>
  </si>
  <si>
    <t>табл. 73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</si>
  <si>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</si>
  <si>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</si>
  <si>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</si>
  <si>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</si>
  <si>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</si>
  <si>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t>100 км трассы</t>
  </si>
  <si>
    <t>К"а"=1.0-0.90*(1-n) протяж. &lt; 100 км</t>
  </si>
  <si>
    <r>
      <t xml:space="preserve">К"в"=3,5; </t>
    </r>
    <r>
      <rPr>
        <sz val="10"/>
        <rFont val="Courier New Cyr"/>
        <family val="3"/>
        <charset val="204"/>
      </rPr>
      <t xml:space="preserve"> отвод под линейный объект</t>
    </r>
  </si>
  <si>
    <t>Прим.10</t>
  </si>
  <si>
    <t>Кприродно-экономич.    2,22</t>
  </si>
  <si>
    <t>С=(а*x1+в*х2)*Кпр.эк=</t>
  </si>
  <si>
    <t>табл. 2</t>
  </si>
  <si>
    <t>объект</t>
  </si>
  <si>
    <t>1 км хода</t>
  </si>
  <si>
    <t>К"в"=1,0+0,08(n-3) кол. точек стояния на 1 км</t>
  </si>
  <si>
    <t>К"а"=1,0-0,04(15-n) протяж. хода &lt; 15 км</t>
  </si>
  <si>
    <t xml:space="preserve">К"а"=0,4; </t>
  </si>
  <si>
    <t>Прим.8</t>
  </si>
  <si>
    <t>Кприродно-экономич.     2,22</t>
  </si>
  <si>
    <t>С=(а*x1+в*х2)*Кпр.эк.=</t>
  </si>
  <si>
    <t>табл. 114</t>
  </si>
  <si>
    <t>1 км границы</t>
  </si>
  <si>
    <t>К"в"=1,0+0,08(n-3) кол. меж. зн. на 1 км</t>
  </si>
  <si>
    <t>К"а"=1,0-0,06(15-n) протяж. гр.&lt;15 км</t>
  </si>
  <si>
    <t>К"в"=1,0+0,10(n-1) кол. соглас.</t>
  </si>
  <si>
    <t>табл. 35</t>
  </si>
  <si>
    <t>1 тыс.га общей площади</t>
  </si>
  <si>
    <t>К"а"=1.0-0.9*(1-n) пл-дь&lt;1тыс.га</t>
  </si>
  <si>
    <t>К"в"=1.0-0.7*(1-n) пл-дь&lt;1тыс.га</t>
  </si>
  <si>
    <t>табл. 77</t>
  </si>
  <si>
    <r>
      <t xml:space="preserve">1,00;2,5;4,0; </t>
    </r>
    <r>
      <rPr>
        <sz val="10"/>
        <rFont val="Courier New"/>
        <family val="3"/>
        <charset val="204"/>
      </rPr>
      <t>Вид объекта</t>
    </r>
  </si>
  <si>
    <t>К"а"=К"в"</t>
  </si>
  <si>
    <t>К"а"=1.0-0.02*(40-n) дл. &lt; 40 км</t>
  </si>
  <si>
    <t>К"в"=1,0+0,05(n-1) кол. меж. зн.</t>
  </si>
  <si>
    <t>Проезд до объекта и обратно (до 25% от стоимости работ) п.7 Общих указаний ОНЗТ</t>
  </si>
  <si>
    <t xml:space="preserve">Образование зем. участка </t>
  </si>
  <si>
    <t>4. Описание и согласование границ землепользования 1 км</t>
  </si>
  <si>
    <t>3. Вычисление общей площади землепользования 0,0010 тыс. га</t>
  </si>
  <si>
    <t>,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</si>
  <si>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</si>
  <si>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</si>
  <si>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</si>
  <si>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</si>
  <si>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Итого: Сто семь тысяч сто тридцать восемь руб. 13 коп.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</si>
  <si>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</si>
  <si>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</si>
  <si>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</si>
  <si>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</si>
  <si>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</si>
  <si>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</si>
  <si>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</si>
  <si>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</si>
  <si>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</si>
  <si>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</si>
  <si>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Объект: ЛЭП длиной свыше 300 м (1 км ЛЭП)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</si>
  <si>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</si>
  <si>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</si>
  <si>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</si>
  <si>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межевого плана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</si>
</sst>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164" formatCode="0.000"/>
    <numFmt numFmtId="165" formatCode="0.0"/>
    <numFmt numFmtId="166" formatCode="0.00;[Red]0.00"/>
    <numFmt numFmtId="167" formatCode="0.000000"/>
    <numFmt numFmtId="168" formatCode="0.0000"/>
    <numFmt numFmtId="169" formatCode="00000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b/>
      <sz val="10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b/>
      <sz val="10"/>
      <color indexed="6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 applyBorder="1" applyAlignment="1"/>
    <xf numFmtId="0" fontId="5" fillId="0" borderId="0" xfId="0" applyFont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/>
    <xf numFmtId="0" fontId="7" fillId="0" borderId="12" xfId="0" applyFont="1" applyFill="1" applyBorder="1"/>
    <xf numFmtId="0" fontId="11" fillId="0" borderId="0" xfId="0" applyFont="1"/>
    <xf numFmtId="1" fontId="7" fillId="0" borderId="1" xfId="0" applyNumberFormat="1" applyFont="1" applyFill="1" applyBorder="1" applyAlignment="1"/>
    <xf numFmtId="0" fontId="5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15" fillId="0" borderId="0" xfId="0" applyFont="1" applyFill="1"/>
    <xf numFmtId="0" fontId="15" fillId="0" borderId="24" xfId="0" applyFont="1" applyFill="1" applyBorder="1" applyAlignment="1"/>
    <xf numFmtId="0" fontId="16" fillId="0" borderId="6" xfId="0" applyFont="1" applyFill="1" applyBorder="1" applyAlignment="1"/>
    <xf numFmtId="0" fontId="15" fillId="0" borderId="1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5" xfId="0" applyFont="1" applyFill="1" applyBorder="1" applyAlignment="1"/>
    <xf numFmtId="1" fontId="15" fillId="0" borderId="1" xfId="0" applyNumberFormat="1" applyFont="1" applyFill="1" applyBorder="1" applyAlignment="1"/>
    <xf numFmtId="0" fontId="15" fillId="0" borderId="22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1" xfId="0" applyFont="1" applyFill="1" applyBorder="1" applyAlignment="1"/>
    <xf numFmtId="0" fontId="15" fillId="0" borderId="10" xfId="0" applyFont="1" applyFill="1" applyBorder="1" applyAlignment="1"/>
    <xf numFmtId="0" fontId="15" fillId="0" borderId="9" xfId="0" applyFont="1" applyFill="1" applyBorder="1" applyAlignment="1"/>
    <xf numFmtId="0" fontId="16" fillId="0" borderId="4" xfId="0" applyFont="1" applyFill="1" applyBorder="1" applyAlignment="1">
      <alignment horizontal="left" vertical="center"/>
    </xf>
    <xf numFmtId="0" fontId="15" fillId="0" borderId="1" xfId="0" applyFont="1" applyFill="1" applyBorder="1" applyAlignment="1"/>
    <xf numFmtId="0" fontId="15" fillId="0" borderId="2" xfId="0" applyFont="1" applyFill="1" applyBorder="1" applyAlignment="1"/>
    <xf numFmtId="0" fontId="15" fillId="0" borderId="3" xfId="0" applyFont="1" applyFill="1" applyBorder="1" applyAlignment="1"/>
    <xf numFmtId="2" fontId="15" fillId="0" borderId="1" xfId="0" applyNumberFormat="1" applyFont="1" applyFill="1" applyBorder="1" applyAlignment="1"/>
    <xf numFmtId="0" fontId="15" fillId="0" borderId="1" xfId="0" applyFont="1" applyFill="1" applyBorder="1"/>
    <xf numFmtId="164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20" xfId="0" applyFont="1" applyFill="1" applyBorder="1" applyAlignment="1"/>
    <xf numFmtId="0" fontId="6" fillId="0" borderId="21" xfId="0" applyFont="1" applyFill="1" applyBorder="1" applyAlignment="1">
      <alignment horizontal="centerContinuous" vertical="center" wrapText="1"/>
    </xf>
    <xf numFmtId="0" fontId="10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center"/>
    </xf>
    <xf numFmtId="0" fontId="15" fillId="0" borderId="11" xfId="0" applyFont="1" applyFill="1" applyBorder="1"/>
    <xf numFmtId="0" fontId="15" fillId="0" borderId="16" xfId="0" applyFont="1" applyFill="1" applyBorder="1"/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/>
    <xf numFmtId="0" fontId="17" fillId="0" borderId="12" xfId="0" applyFont="1" applyFill="1" applyBorder="1"/>
    <xf numFmtId="166" fontId="15" fillId="0" borderId="1" xfId="0" applyNumberFormat="1" applyFont="1" applyFill="1" applyBorder="1"/>
    <xf numFmtId="0" fontId="15" fillId="0" borderId="12" xfId="0" applyFont="1" applyFill="1" applyBorder="1"/>
    <xf numFmtId="2" fontId="15" fillId="0" borderId="7" xfId="0" applyNumberFormat="1" applyFont="1" applyFill="1" applyBorder="1"/>
    <xf numFmtId="0" fontId="15" fillId="0" borderId="3" xfId="0" applyFont="1" applyFill="1" applyBorder="1"/>
    <xf numFmtId="0" fontId="15" fillId="0" borderId="28" xfId="0" applyFont="1" applyFill="1" applyBorder="1" applyAlignment="1"/>
    <xf numFmtId="0" fontId="15" fillId="0" borderId="29" xfId="0" applyFont="1" applyFill="1" applyBorder="1" applyAlignment="1"/>
    <xf numFmtId="0" fontId="15" fillId="0" borderId="30" xfId="0" applyFont="1" applyFill="1" applyBorder="1" applyAlignment="1"/>
    <xf numFmtId="0" fontId="15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1" fontId="15" fillId="0" borderId="1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5" fillId="0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/>
    </xf>
    <xf numFmtId="0" fontId="4" fillId="0" borderId="0" xfId="0" applyFont="1"/>
    <xf numFmtId="0" fontId="20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right" vertical="top"/>
    </xf>
    <xf numFmtId="0" fontId="0" fillId="0" borderId="0" xfId="0" applyFill="1" applyAlignment="1">
      <alignment vertical="center"/>
    </xf>
    <xf numFmtId="0" fontId="7" fillId="0" borderId="10" xfId="0" applyFont="1" applyFill="1" applyBorder="1" applyAlignment="1"/>
    <xf numFmtId="0" fontId="5" fillId="0" borderId="3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/>
    <xf numFmtId="0" fontId="0" fillId="0" borderId="8" xfId="0" applyFill="1" applyBorder="1" applyAlignment="1">
      <alignment vertical="center"/>
    </xf>
    <xf numFmtId="0" fontId="0" fillId="0" borderId="0" xfId="0" applyFill="1"/>
    <xf numFmtId="168" fontId="7" fillId="0" borderId="18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/>
    <xf numFmtId="0" fontId="7" fillId="0" borderId="7" xfId="0" applyFont="1" applyFill="1" applyBorder="1"/>
    <xf numFmtId="0" fontId="5" fillId="0" borderId="3" xfId="0" applyFont="1" applyFill="1" applyBorder="1"/>
    <xf numFmtId="0" fontId="9" fillId="0" borderId="6" xfId="0" applyFont="1" applyFill="1" applyBorder="1"/>
    <xf numFmtId="0" fontId="7" fillId="0" borderId="19" xfId="0" applyFont="1" applyFill="1" applyBorder="1" applyAlignment="1"/>
    <xf numFmtId="0" fontId="5" fillId="0" borderId="26" xfId="0" applyFont="1" applyFill="1" applyBorder="1"/>
    <xf numFmtId="0" fontId="7" fillId="0" borderId="11" xfId="0" applyFont="1" applyFill="1" applyBorder="1"/>
    <xf numFmtId="0" fontId="5" fillId="0" borderId="16" xfId="0" applyFont="1" applyFill="1" applyBorder="1"/>
    <xf numFmtId="0" fontId="5" fillId="0" borderId="13" xfId="0" applyFont="1" applyFill="1" applyBorder="1"/>
    <xf numFmtId="2" fontId="7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right" vertical="center"/>
    </xf>
    <xf numFmtId="0" fontId="9" fillId="0" borderId="12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0" fillId="0" borderId="2" xfId="0" applyFill="1" applyBorder="1" applyAlignment="1"/>
    <xf numFmtId="0" fontId="0" fillId="0" borderId="15" xfId="0" applyFill="1" applyBorder="1" applyAlignment="1"/>
    <xf numFmtId="44" fontId="6" fillId="0" borderId="14" xfId="0" applyNumberFormat="1" applyFont="1" applyFill="1" applyBorder="1"/>
    <xf numFmtId="0" fontId="5" fillId="0" borderId="19" xfId="0" applyFont="1" applyFill="1" applyBorder="1" applyAlignment="1">
      <alignment horizontal="left" vertical="center" wrapText="1"/>
    </xf>
    <xf numFmtId="169" fontId="21" fillId="0" borderId="0" xfId="0" applyNumberFormat="1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165" fontId="15" fillId="0" borderId="18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164" fontId="15" fillId="0" borderId="1" xfId="0" applyNumberFormat="1" applyFont="1" applyFill="1" applyBorder="1" applyAlignment="1"/>
    <xf numFmtId="0" fontId="3" fillId="0" borderId="0" xfId="0" applyFont="1" applyFill="1" applyBorder="1" applyAlignment="1">
      <alignment vertical="top" wrapText="1"/>
    </xf>
    <xf numFmtId="165" fontId="15" fillId="0" borderId="7" xfId="0" applyNumberFormat="1" applyFont="1" applyFill="1" applyBorder="1"/>
    <xf numFmtId="0" fontId="6" fillId="0" borderId="22" xfId="0" applyFont="1" applyFill="1" applyBorder="1" applyAlignment="1">
      <alignment horizontal="centerContinuous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/>
    </xf>
    <xf numFmtId="0" fontId="5" fillId="0" borderId="7" xfId="0" applyFont="1" applyFill="1" applyBorder="1"/>
    <xf numFmtId="0" fontId="5" fillId="0" borderId="9" xfId="0" applyFont="1" applyFill="1" applyBorder="1"/>
    <xf numFmtId="168" fontId="7" fillId="0" borderId="7" xfId="0" applyNumberFormat="1" applyFont="1" applyFill="1" applyBorder="1"/>
    <xf numFmtId="49" fontId="7" fillId="0" borderId="7" xfId="0" applyNumberFormat="1" applyFont="1" applyFill="1" applyBorder="1"/>
    <xf numFmtId="0" fontId="7" fillId="0" borderId="4" xfId="0" applyFont="1" applyFill="1" applyBorder="1"/>
    <xf numFmtId="0" fontId="7" fillId="0" borderId="10" xfId="0" applyFont="1" applyFill="1" applyBorder="1"/>
    <xf numFmtId="0" fontId="0" fillId="0" borderId="7" xfId="0" applyFill="1" applyBorder="1"/>
    <xf numFmtId="0" fontId="8" fillId="0" borderId="20" xfId="0" applyFont="1" applyFill="1" applyBorder="1"/>
    <xf numFmtId="0" fontId="0" fillId="0" borderId="25" xfId="0" applyFill="1" applyBorder="1"/>
    <xf numFmtId="44" fontId="6" fillId="0" borderId="8" xfId="0" applyNumberFormat="1" applyFont="1" applyFill="1" applyBorder="1"/>
    <xf numFmtId="2" fontId="7" fillId="0" borderId="18" xfId="0" applyNumberFormat="1" applyFont="1" applyFill="1" applyBorder="1" applyAlignment="1">
      <alignment horizontal="center" vertical="center"/>
    </xf>
    <xf numFmtId="0" fontId="5" fillId="0" borderId="11" xfId="0" applyFont="1" applyFill="1" applyBorder="1"/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/>
    </xf>
    <xf numFmtId="0" fontId="10" fillId="0" borderId="12" xfId="0" applyFont="1" applyFill="1" applyBorder="1"/>
    <xf numFmtId="165" fontId="7" fillId="0" borderId="7" xfId="0" applyNumberFormat="1" applyFont="1" applyFill="1" applyBorder="1"/>
    <xf numFmtId="44" fontId="6" fillId="0" borderId="14" xfId="0" applyNumberFormat="1" applyFont="1" applyFill="1" applyBorder="1" applyAlignment="1">
      <alignment horizontal="center"/>
    </xf>
    <xf numFmtId="9" fontId="9" fillId="0" borderId="17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3" fillId="0" borderId="21" xfId="0" applyFont="1" applyFill="1" applyBorder="1"/>
    <xf numFmtId="0" fontId="13" fillId="0" borderId="22" xfId="0" applyFont="1" applyFill="1" applyBorder="1"/>
    <xf numFmtId="0" fontId="13" fillId="0" borderId="23" xfId="0" applyFont="1" applyFill="1" applyBorder="1"/>
    <xf numFmtId="0" fontId="2" fillId="0" borderId="0" xfId="0" applyFont="1" applyFill="1"/>
    <xf numFmtId="0" fontId="13" fillId="0" borderId="3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167" fontId="15" fillId="0" borderId="27" xfId="0" applyNumberFormat="1" applyFont="1" applyFill="1" applyBorder="1" applyAlignment="1">
      <alignment horizontal="center" vertical="center" wrapText="1"/>
    </xf>
    <xf numFmtId="167" fontId="15" fillId="0" borderId="15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19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tabSelected="1" topLeftCell="A6" zoomScale="85" zoomScaleNormal="85" workbookViewId="0">
      <selection activeCell="I27" sqref="I27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151" t="s">
        <v>58</v>
      </c>
      <c r="D1" s="152"/>
      <c r="E1" s="152"/>
      <c r="F1" s="152"/>
    </row>
    <row r="2" spans="1:6" ht="15.75" hidden="1" customHeight="1" x14ac:dyDescent="0.25">
      <c r="C2" s="153" t="s">
        <v>57</v>
      </c>
      <c r="D2" s="152"/>
      <c r="E2" s="152"/>
      <c r="F2" s="152"/>
    </row>
    <row r="3" spans="1:6" ht="38.25" hidden="1" customHeight="1" x14ac:dyDescent="0.25">
      <c r="D3" s="58" t="s">
        <v>56</v>
      </c>
      <c r="E3" s="9"/>
      <c r="F3" s="9"/>
    </row>
    <row r="4" spans="1:6" ht="28.5" hidden="1" customHeight="1" x14ac:dyDescent="0.25">
      <c r="D4" s="58" t="s">
        <v>55</v>
      </c>
      <c r="E4" s="9"/>
      <c r="F4" s="9"/>
    </row>
    <row r="5" spans="1:6" ht="18" hidden="1" customHeight="1" x14ac:dyDescent="0.2">
      <c r="F5" s="57"/>
    </row>
    <row r="6" spans="1:6" s="65" customFormat="1" outlineLevel="2" x14ac:dyDescent="0.2">
      <c r="A6" s="60" t="s">
        <v>60</v>
      </c>
      <c r="B6" s="61"/>
      <c r="C6" s="62"/>
      <c r="D6" s="63"/>
      <c r="E6" s="64"/>
      <c r="F6" s="66" t="s">
        <v>61</v>
      </c>
    </row>
    <row r="7" spans="1:6" s="65" customFormat="1" outlineLevel="1" x14ac:dyDescent="0.2">
      <c r="A7" s="67" t="s">
        <v>62</v>
      </c>
      <c r="B7" s="61"/>
      <c r="C7" s="62"/>
      <c r="D7" s="63"/>
      <c r="E7" s="64"/>
      <c r="F7" s="68" t="s">
        <v>63</v>
      </c>
    </row>
    <row r="8" spans="1:6" s="65" customFormat="1" outlineLevel="1" x14ac:dyDescent="0.2">
      <c r="A8" s="67" t="s">
        <v>64</v>
      </c>
      <c r="B8" s="61"/>
      <c r="C8" s="62"/>
      <c r="D8" s="63"/>
      <c r="E8" s="64"/>
      <c r="F8" s="68" t="s">
        <v>65</v>
      </c>
    </row>
    <row r="9" spans="1:6" s="65" customFormat="1" outlineLevel="1" x14ac:dyDescent="0.2">
      <c r="A9" s="67" t="s">
        <v>66</v>
      </c>
      <c r="B9" s="61"/>
      <c r="C9" s="62"/>
      <c r="D9" s="63"/>
      <c r="E9" s="64"/>
      <c r="F9" s="68" t="s">
        <v>67</v>
      </c>
    </row>
    <row r="10" spans="1:6" s="65" customFormat="1" outlineLevel="1" x14ac:dyDescent="0.2">
      <c r="A10" s="69" t="s">
        <v>68</v>
      </c>
      <c r="B10" s="61"/>
      <c r="C10" s="62"/>
      <c r="D10" s="63"/>
      <c r="E10" s="64"/>
      <c r="F10" s="70" t="s">
        <v>69</v>
      </c>
    </row>
    <row r="11" spans="1:6" ht="18" customHeight="1" x14ac:dyDescent="0.2">
      <c r="F11" s="57"/>
    </row>
    <row r="12" spans="1:6" ht="18" customHeight="1" x14ac:dyDescent="0.3">
      <c r="A12" s="150" t="s">
        <v>19</v>
      </c>
      <c r="B12" s="150"/>
      <c r="C12" s="150"/>
      <c r="D12" s="150"/>
      <c r="E12" s="150"/>
      <c r="F12" s="150"/>
    </row>
    <row r="13" spans="1:6" ht="18" customHeight="1" x14ac:dyDescent="0.3">
      <c r="A13" s="150" t="s">
        <v>74</v>
      </c>
      <c r="B13" s="150"/>
      <c r="C13" s="150"/>
      <c r="D13" s="150"/>
      <c r="E13" s="150"/>
      <c r="F13" s="150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149" t="s">
        <v>70</v>
      </c>
      <c r="B15" s="149"/>
      <c r="C15" s="149"/>
      <c r="D15" s="149"/>
      <c r="E15" s="149"/>
      <c r="F15" s="149"/>
    </row>
    <row r="16" spans="1:6" ht="15.75" customHeight="1" thickBot="1" x14ac:dyDescent="0.25">
      <c r="A16" s="55"/>
      <c r="B16" s="55"/>
      <c r="C16" s="55"/>
      <c r="D16" s="55"/>
      <c r="E16" s="55"/>
      <c r="F16" s="56"/>
    </row>
    <row r="17" spans="1:11" s="77" customFormat="1" ht="25.5" customHeight="1" thickBot="1" x14ac:dyDescent="0.3">
      <c r="A17" s="145" t="str">
        <f>CONCATENATE("1. Проложение теодолитного хода")</f>
        <v>1. Проложение теодолитного хода</v>
      </c>
      <c r="B17" s="146"/>
      <c r="C17" s="101">
        <v>1.5</v>
      </c>
      <c r="D17" s="102" t="s">
        <v>27</v>
      </c>
      <c r="E17" s="18" t="s">
        <v>0</v>
      </c>
      <c r="F17" s="11"/>
      <c r="H17" s="103"/>
      <c r="I17" s="103"/>
      <c r="J17" s="103"/>
      <c r="K17" s="103"/>
    </row>
    <row r="18" spans="1:11" s="77" customFormat="1" ht="15.75" x14ac:dyDescent="0.25">
      <c r="A18" s="12" t="s">
        <v>1</v>
      </c>
      <c r="B18" s="19" t="s">
        <v>2</v>
      </c>
      <c r="C18" s="13">
        <v>1276</v>
      </c>
      <c r="D18" s="20" t="s">
        <v>28</v>
      </c>
      <c r="E18" s="19"/>
      <c r="F18" s="21"/>
      <c r="G18" s="104"/>
      <c r="H18" s="103"/>
      <c r="I18" s="103"/>
      <c r="J18" s="103"/>
      <c r="K18" s="103"/>
    </row>
    <row r="19" spans="1:11" s="77" customFormat="1" ht="18" customHeight="1" x14ac:dyDescent="0.25">
      <c r="A19" s="22">
        <v>2</v>
      </c>
      <c r="B19" s="23" t="s">
        <v>4</v>
      </c>
      <c r="C19" s="14">
        <v>293</v>
      </c>
      <c r="D19" s="147" t="s">
        <v>29</v>
      </c>
      <c r="E19" s="148"/>
      <c r="F19" s="25"/>
      <c r="G19" s="104"/>
      <c r="H19" s="103"/>
      <c r="I19" s="103"/>
      <c r="J19" s="103"/>
      <c r="K19" s="103"/>
    </row>
    <row r="20" spans="1:11" s="77" customFormat="1" ht="22.5" customHeight="1" x14ac:dyDescent="0.25">
      <c r="A20" s="15" t="s">
        <v>30</v>
      </c>
      <c r="B20" s="23" t="s">
        <v>5</v>
      </c>
      <c r="C20" s="26">
        <f>SUM(1,0.08*(E20-3))</f>
        <v>2.04</v>
      </c>
      <c r="D20" s="24" t="s">
        <v>6</v>
      </c>
      <c r="E20" s="16">
        <v>16</v>
      </c>
      <c r="F20" s="25"/>
      <c r="G20" s="105"/>
      <c r="H20" s="103"/>
      <c r="I20" s="103"/>
      <c r="J20" s="103"/>
      <c r="K20" s="103"/>
    </row>
    <row r="21" spans="1:11" s="77" customFormat="1" ht="18" customHeight="1" x14ac:dyDescent="0.25">
      <c r="A21" s="15" t="s">
        <v>31</v>
      </c>
      <c r="B21" s="23" t="s">
        <v>7</v>
      </c>
      <c r="C21" s="106">
        <f>SUM(1,-0.04*(15-E21))</f>
        <v>0.45999999999999996</v>
      </c>
      <c r="D21" s="24" t="s">
        <v>8</v>
      </c>
      <c r="E21" s="26">
        <f>C17</f>
        <v>1.5</v>
      </c>
      <c r="F21" s="25"/>
      <c r="G21" s="107"/>
      <c r="H21" s="103"/>
      <c r="I21" s="103"/>
      <c r="J21" s="103"/>
      <c r="K21" s="103"/>
    </row>
    <row r="22" spans="1:11" s="77" customFormat="1" ht="17.25" customHeight="1" x14ac:dyDescent="0.25">
      <c r="A22" s="15" t="s">
        <v>32</v>
      </c>
      <c r="B22" s="27" t="s">
        <v>7</v>
      </c>
      <c r="C22" s="108">
        <v>0.4</v>
      </c>
      <c r="D22" s="27" t="s">
        <v>33</v>
      </c>
      <c r="E22" s="16"/>
      <c r="F22" s="46"/>
      <c r="G22" s="71"/>
      <c r="H22" s="103"/>
      <c r="I22" s="103"/>
      <c r="J22" s="103"/>
      <c r="K22" s="103"/>
    </row>
    <row r="23" spans="1:11" s="77" customFormat="1" ht="14.25" customHeight="1" x14ac:dyDescent="0.25">
      <c r="A23" s="15" t="s">
        <v>34</v>
      </c>
      <c r="B23" s="23" t="s">
        <v>11</v>
      </c>
      <c r="C23" s="23">
        <v>2.2200000000000002</v>
      </c>
      <c r="D23" s="24" t="s">
        <v>12</v>
      </c>
      <c r="E23" s="23"/>
      <c r="F23" s="25"/>
      <c r="G23" s="103"/>
      <c r="H23" s="103"/>
      <c r="I23" s="103"/>
      <c r="J23" s="103"/>
      <c r="K23" s="103"/>
    </row>
    <row r="24" spans="1:11" s="77" customFormat="1" ht="15.75" x14ac:dyDescent="0.25">
      <c r="A24" s="15" t="s">
        <v>35</v>
      </c>
      <c r="B24" s="27"/>
      <c r="C24" s="28"/>
      <c r="D24" s="29"/>
      <c r="E24" s="29"/>
      <c r="F24" s="30">
        <f>ROUND((C18*C21*C22)+(C19*C17*C20),2)</f>
        <v>1131.3599999999999</v>
      </c>
      <c r="G24" s="103"/>
      <c r="H24" s="103"/>
      <c r="I24" s="103"/>
      <c r="J24" s="103"/>
      <c r="K24" s="103"/>
    </row>
    <row r="25" spans="1:11" s="77" customFormat="1" ht="15.75" customHeight="1" thickBot="1" x14ac:dyDescent="0.35">
      <c r="A25" s="15" t="str">
        <f>CONCATENATE("C=","(",C18,"*",C21,"*",C22,"+",C19,"*",C17,"*",C20,")","*",C23,)</f>
        <v>C=(1276*0,46*0,4+293*1,5*2,04)*2,22</v>
      </c>
      <c r="B25" s="31"/>
      <c r="C25" s="31"/>
      <c r="D25" s="31"/>
      <c r="E25" s="31"/>
      <c r="F25" s="96">
        <f>ROUND(PRODUCT(F24,C23,),2)</f>
        <v>2511.62</v>
      </c>
      <c r="G25" s="103"/>
      <c r="H25" s="103"/>
      <c r="I25" s="103"/>
      <c r="J25" s="103"/>
      <c r="K25" s="103"/>
    </row>
    <row r="26" spans="1:11" s="77" customFormat="1" ht="29.25" customHeight="1" thickBot="1" x14ac:dyDescent="0.3">
      <c r="A26" s="145" t="str">
        <f>CONCATENATE("2. Установление границ землепользования ",C26," км")</f>
        <v>2. Установление границ землепользования 1 км</v>
      </c>
      <c r="B26" s="146"/>
      <c r="C26" s="52">
        <v>1</v>
      </c>
      <c r="D26" s="17" t="s">
        <v>36</v>
      </c>
      <c r="E26" s="18" t="s">
        <v>0</v>
      </c>
      <c r="F26" s="11"/>
      <c r="G26" s="103"/>
    </row>
    <row r="27" spans="1:11" s="77" customFormat="1" ht="15.75" x14ac:dyDescent="0.25">
      <c r="A27" s="12" t="s">
        <v>1</v>
      </c>
      <c r="B27" s="19" t="s">
        <v>2</v>
      </c>
      <c r="C27" s="13">
        <v>1229</v>
      </c>
      <c r="D27" s="20" t="s">
        <v>3</v>
      </c>
      <c r="E27" s="19"/>
      <c r="F27" s="21"/>
      <c r="G27" s="103"/>
    </row>
    <row r="28" spans="1:11" s="77" customFormat="1" ht="33" customHeight="1" x14ac:dyDescent="0.25">
      <c r="A28" s="22">
        <v>2</v>
      </c>
      <c r="B28" s="23" t="s">
        <v>4</v>
      </c>
      <c r="C28" s="14">
        <v>241</v>
      </c>
      <c r="D28" s="24" t="s">
        <v>37</v>
      </c>
      <c r="E28" s="23"/>
      <c r="F28" s="25"/>
      <c r="G28" s="103"/>
    </row>
    <row r="29" spans="1:11" s="77" customFormat="1" ht="16.5" customHeight="1" x14ac:dyDescent="0.25">
      <c r="A29" s="15" t="s">
        <v>38</v>
      </c>
      <c r="B29" s="23" t="s">
        <v>5</v>
      </c>
      <c r="C29" s="26">
        <f>SUM(1,0.08*(E29-3))</f>
        <v>1.88</v>
      </c>
      <c r="D29" s="24" t="s">
        <v>6</v>
      </c>
      <c r="E29" s="16">
        <v>14</v>
      </c>
      <c r="F29" s="25"/>
      <c r="G29" s="103"/>
    </row>
    <row r="30" spans="1:11" s="77" customFormat="1" ht="15.75" x14ac:dyDescent="0.25">
      <c r="A30" s="15" t="s">
        <v>39</v>
      </c>
      <c r="B30" s="23" t="s">
        <v>7</v>
      </c>
      <c r="C30" s="26">
        <f>SUM(1,-0.06*(15-E30))</f>
        <v>0.16000000000000003</v>
      </c>
      <c r="D30" s="24" t="s">
        <v>8</v>
      </c>
      <c r="E30" s="16">
        <f>C26</f>
        <v>1</v>
      </c>
      <c r="F30" s="25"/>
      <c r="G30" s="103"/>
    </row>
    <row r="31" spans="1:11" s="77" customFormat="1" ht="12.75" customHeight="1" x14ac:dyDescent="0.25">
      <c r="A31" s="15" t="s">
        <v>40</v>
      </c>
      <c r="B31" s="23" t="s">
        <v>5</v>
      </c>
      <c r="C31" s="26">
        <f>SUM(1,0.1*(E31-1))</f>
        <v>1.2</v>
      </c>
      <c r="D31" s="24" t="s">
        <v>10</v>
      </c>
      <c r="E31" s="23">
        <v>3</v>
      </c>
      <c r="F31" s="25"/>
    </row>
    <row r="32" spans="1:11" s="77" customFormat="1" ht="16.5" customHeight="1" x14ac:dyDescent="0.25">
      <c r="A32" s="15" t="s">
        <v>34</v>
      </c>
      <c r="B32" s="23" t="s">
        <v>11</v>
      </c>
      <c r="C32" s="23">
        <v>2.2200000000000002</v>
      </c>
      <c r="D32" s="24" t="s">
        <v>12</v>
      </c>
      <c r="E32" s="23"/>
      <c r="F32" s="25"/>
    </row>
    <row r="33" spans="1:6" s="77" customFormat="1" ht="12" customHeight="1" x14ac:dyDescent="0.25">
      <c r="A33" s="15" t="s">
        <v>13</v>
      </c>
      <c r="B33" s="27"/>
      <c r="C33" s="28"/>
      <c r="D33" s="29"/>
      <c r="E33" s="29"/>
      <c r="F33" s="30">
        <f>ROUND((C27*C30)+(C28*C26*C29*C31),2)</f>
        <v>740.34</v>
      </c>
    </row>
    <row r="34" spans="1:6" s="77" customFormat="1" ht="17.25" customHeight="1" thickBot="1" x14ac:dyDescent="0.35">
      <c r="A34" s="15" t="str">
        <f>CONCATENATE("C=","(",C27,"*",C30,"+",C28,"*",C26,"*",C29,"*",C31,")","*",C32,)</f>
        <v>C=(1229*0,16+241*1*1,88*1,2)*2,22</v>
      </c>
      <c r="B34" s="31"/>
      <c r="C34" s="31"/>
      <c r="D34" s="31"/>
      <c r="E34" s="31"/>
      <c r="F34" s="96">
        <f>ROUND(PRODUCT(F33,C32),2)</f>
        <v>1643.55</v>
      </c>
    </row>
    <row r="35" spans="1:6" s="77" customFormat="1" ht="33.75" thickBot="1" x14ac:dyDescent="0.25">
      <c r="A35" s="32" t="s">
        <v>53</v>
      </c>
      <c r="B35" s="109"/>
      <c r="C35" s="78">
        <f>0.1/1000</f>
        <v>1E-4</v>
      </c>
      <c r="D35" s="110" t="s">
        <v>41</v>
      </c>
      <c r="E35" s="8" t="s">
        <v>0</v>
      </c>
      <c r="F35" s="111"/>
    </row>
    <row r="36" spans="1:6" s="77" customFormat="1" ht="15.75" x14ac:dyDescent="0.25">
      <c r="A36" s="33"/>
      <c r="B36" s="81" t="s">
        <v>2</v>
      </c>
      <c r="C36" s="81">
        <v>56</v>
      </c>
      <c r="D36" s="72" t="s">
        <v>3</v>
      </c>
      <c r="E36" s="112"/>
      <c r="F36" s="113"/>
    </row>
    <row r="37" spans="1:6" s="77" customFormat="1" ht="15.75" x14ac:dyDescent="0.25">
      <c r="A37" s="34"/>
      <c r="B37" s="75" t="s">
        <v>4</v>
      </c>
      <c r="C37" s="81">
        <v>34</v>
      </c>
      <c r="D37" s="74" t="s">
        <v>42</v>
      </c>
      <c r="E37" s="112"/>
      <c r="F37" s="113"/>
    </row>
    <row r="38" spans="1:6" s="77" customFormat="1" ht="17.25" customHeight="1" x14ac:dyDescent="0.25">
      <c r="A38" s="80" t="s">
        <v>43</v>
      </c>
      <c r="B38" s="81" t="s">
        <v>7</v>
      </c>
      <c r="C38" s="3">
        <f>ROUND(SUM(1,-0.9*(1-E38)),2)</f>
        <v>0.1</v>
      </c>
      <c r="D38" s="81" t="s">
        <v>8</v>
      </c>
      <c r="E38" s="114">
        <f>C35</f>
        <v>1E-4</v>
      </c>
      <c r="F38" s="113"/>
    </row>
    <row r="39" spans="1:6" s="77" customFormat="1" ht="15.75" x14ac:dyDescent="0.25">
      <c r="A39" s="80" t="s">
        <v>44</v>
      </c>
      <c r="B39" s="115" t="s">
        <v>5</v>
      </c>
      <c r="C39" s="90">
        <f>ROUND(SUM(1,-0.7*(1-E39)),2)</f>
        <v>0.3</v>
      </c>
      <c r="D39" s="81" t="s">
        <v>14</v>
      </c>
      <c r="E39" s="114">
        <f>E38</f>
        <v>1E-4</v>
      </c>
      <c r="F39" s="113"/>
    </row>
    <row r="40" spans="1:6" s="77" customFormat="1" ht="15.75" x14ac:dyDescent="0.25">
      <c r="A40" s="116" t="s">
        <v>34</v>
      </c>
      <c r="B40" s="86" t="s">
        <v>11</v>
      </c>
      <c r="C40" s="81">
        <v>2.2200000000000002</v>
      </c>
      <c r="D40" s="117" t="s">
        <v>12</v>
      </c>
      <c r="E40" s="86"/>
      <c r="F40" s="113"/>
    </row>
    <row r="41" spans="1:6" s="77" customFormat="1" ht="15.75" x14ac:dyDescent="0.25">
      <c r="A41" s="83" t="s">
        <v>13</v>
      </c>
      <c r="B41" s="118"/>
      <c r="C41" s="112"/>
      <c r="D41" s="112"/>
      <c r="E41" s="112"/>
      <c r="F41" s="76">
        <f>(C36*C38)+(C37*C319)</f>
        <v>5.6000000000000005</v>
      </c>
    </row>
    <row r="42" spans="1:6" s="77" customFormat="1" ht="17.25" thickBot="1" x14ac:dyDescent="0.35">
      <c r="A42" s="84" t="str">
        <f>CONCATENATE("C=","(",C36,"*",C38,"+",C37,"*",C39,")","*",C40,)</f>
        <v>C=(56*0,1+34*0,3)*2,22</v>
      </c>
      <c r="B42" s="119"/>
      <c r="C42" s="119"/>
      <c r="D42" s="119"/>
      <c r="E42" s="120"/>
      <c r="F42" s="121">
        <f>ROUND(PRODUCT(F41,C40,),2)</f>
        <v>12.43</v>
      </c>
    </row>
    <row r="43" spans="1:6" s="77" customFormat="1" ht="33" customHeight="1" thickBot="1" x14ac:dyDescent="0.25">
      <c r="A43" s="145" t="s">
        <v>52</v>
      </c>
      <c r="B43" s="146"/>
      <c r="C43" s="52">
        <f>C26</f>
        <v>1</v>
      </c>
      <c r="D43" s="53" t="s">
        <v>45</v>
      </c>
      <c r="E43" s="35" t="s">
        <v>0</v>
      </c>
      <c r="F43" s="36"/>
    </row>
    <row r="44" spans="1:6" s="77" customFormat="1" ht="13.5" x14ac:dyDescent="0.25">
      <c r="A44" s="37"/>
      <c r="B44" s="38" t="s">
        <v>2</v>
      </c>
      <c r="C44" s="38">
        <v>882</v>
      </c>
      <c r="D44" s="20" t="s">
        <v>3</v>
      </c>
      <c r="E44" s="38"/>
      <c r="F44" s="39"/>
    </row>
    <row r="45" spans="1:6" s="77" customFormat="1" ht="13.5" x14ac:dyDescent="0.25">
      <c r="A45" s="40"/>
      <c r="B45" s="27" t="s">
        <v>4</v>
      </c>
      <c r="C45" s="27">
        <v>11</v>
      </c>
      <c r="D45" s="24" t="s">
        <v>37</v>
      </c>
      <c r="E45" s="27"/>
      <c r="F45" s="41"/>
    </row>
    <row r="46" spans="1:6" s="77" customFormat="1" ht="13.5" x14ac:dyDescent="0.25">
      <c r="A46" s="42" t="s">
        <v>46</v>
      </c>
      <c r="B46" s="27" t="s">
        <v>47</v>
      </c>
      <c r="C46" s="43">
        <v>1</v>
      </c>
      <c r="D46" s="27" t="s">
        <v>6</v>
      </c>
      <c r="E46" s="27"/>
      <c r="F46" s="41"/>
    </row>
    <row r="47" spans="1:6" s="77" customFormat="1" ht="13.5" x14ac:dyDescent="0.25">
      <c r="A47" s="44" t="s">
        <v>48</v>
      </c>
      <c r="B47" s="27" t="s">
        <v>7</v>
      </c>
      <c r="C47" s="43">
        <f>ROUND(SUM(1,-0.02*(40-E47)),2)</f>
        <v>0.22</v>
      </c>
      <c r="D47" s="27" t="s">
        <v>8</v>
      </c>
      <c r="E47" s="54">
        <f>C43</f>
        <v>1</v>
      </c>
      <c r="F47" s="41"/>
    </row>
    <row r="48" spans="1:6" s="77" customFormat="1" ht="13.5" x14ac:dyDescent="0.25">
      <c r="A48" s="15" t="s">
        <v>49</v>
      </c>
      <c r="B48" s="27" t="s">
        <v>5</v>
      </c>
      <c r="C48" s="45">
        <f>ROUND(SUM(1,0.05*(E48-1)),2)</f>
        <v>1.65</v>
      </c>
      <c r="D48" s="27" t="s">
        <v>9</v>
      </c>
      <c r="E48" s="16">
        <v>14</v>
      </c>
      <c r="F48" s="41"/>
    </row>
    <row r="49" spans="1:6" s="77" customFormat="1" ht="13.5" x14ac:dyDescent="0.25">
      <c r="A49" s="15" t="s">
        <v>40</v>
      </c>
      <c r="B49" s="27" t="s">
        <v>5</v>
      </c>
      <c r="C49" s="45">
        <f>ROUND(SUM(1,0.1*(E49-1)),2)</f>
        <v>1.2</v>
      </c>
      <c r="D49" s="27" t="s">
        <v>10</v>
      </c>
      <c r="E49" s="16">
        <v>3</v>
      </c>
      <c r="F49" s="46"/>
    </row>
    <row r="50" spans="1:6" s="77" customFormat="1" ht="13.5" x14ac:dyDescent="0.25">
      <c r="A50" s="15" t="s">
        <v>34</v>
      </c>
      <c r="B50" s="23" t="s">
        <v>11</v>
      </c>
      <c r="C50" s="23">
        <v>2.2200000000000002</v>
      </c>
      <c r="D50" s="24" t="s">
        <v>12</v>
      </c>
      <c r="E50" s="23"/>
      <c r="F50" s="25"/>
    </row>
    <row r="51" spans="1:6" s="77" customFormat="1" ht="13.5" x14ac:dyDescent="0.25">
      <c r="A51" s="44" t="s">
        <v>13</v>
      </c>
      <c r="B51" s="27"/>
      <c r="C51" s="27"/>
      <c r="D51" s="27"/>
      <c r="E51" s="27"/>
      <c r="F51" s="30">
        <f>ROUND((C44*C47)+(C45*C43*C48*C49),2)</f>
        <v>215.82</v>
      </c>
    </row>
    <row r="52" spans="1:6" s="77" customFormat="1" ht="17.25" thickBot="1" x14ac:dyDescent="0.35">
      <c r="A52" s="47" t="str">
        <f>CONCATENATE("C=","(",C44,"*",C46,"*",C47,"+",C45,"*",C43,"*",C46,"*",C48,"*",C49,")","*",C50)</f>
        <v>C=(882*1*0,22+11*1*1*1,65*1,2)*2,22</v>
      </c>
      <c r="B52" s="48"/>
      <c r="C52" s="48"/>
      <c r="D52" s="48"/>
      <c r="E52" s="49"/>
      <c r="F52" s="96">
        <f>ROUND(PRODUCT(F51,C50,),2)</f>
        <v>479.12</v>
      </c>
    </row>
    <row r="53" spans="1:6" s="77" customFormat="1" ht="25.5" customHeight="1" thickBot="1" x14ac:dyDescent="0.3">
      <c r="A53" s="145" t="str">
        <f>CONCATENATE("5. Подготовка межевых планов ")</f>
        <v xml:space="preserve">5. Подготовка межевых планов </v>
      </c>
      <c r="B53" s="146"/>
      <c r="C53" s="122">
        <f>1/100</f>
        <v>0.01</v>
      </c>
      <c r="D53" s="110" t="s">
        <v>15</v>
      </c>
      <c r="E53" s="8"/>
      <c r="F53" s="85"/>
    </row>
    <row r="54" spans="1:6" s="77" customFormat="1" ht="15.75" x14ac:dyDescent="0.25">
      <c r="A54" s="33">
        <f>1</f>
        <v>1</v>
      </c>
      <c r="B54" s="86" t="s">
        <v>2</v>
      </c>
      <c r="C54" s="86">
        <v>1363</v>
      </c>
      <c r="D54" s="86"/>
      <c r="E54" s="123"/>
      <c r="F54" s="87"/>
    </row>
    <row r="55" spans="1:6" s="77" customFormat="1" ht="15.75" x14ac:dyDescent="0.25">
      <c r="A55" s="5"/>
      <c r="B55" s="75" t="s">
        <v>4</v>
      </c>
      <c r="C55" s="75">
        <v>3431</v>
      </c>
      <c r="D55" s="75" t="s">
        <v>21</v>
      </c>
      <c r="E55" s="93"/>
      <c r="F55" s="88"/>
    </row>
    <row r="56" spans="1:6" s="77" customFormat="1" ht="15.75" x14ac:dyDescent="0.25">
      <c r="A56" s="124" t="s">
        <v>51</v>
      </c>
      <c r="B56" s="75"/>
      <c r="C56" s="75"/>
      <c r="D56" s="75"/>
      <c r="E56" s="93"/>
      <c r="F56" s="88"/>
    </row>
    <row r="57" spans="1:6" s="77" customFormat="1" ht="15.75" x14ac:dyDescent="0.25">
      <c r="A57" s="125" t="s">
        <v>22</v>
      </c>
      <c r="B57" s="75" t="s">
        <v>7</v>
      </c>
      <c r="C57" s="89">
        <f>ROUND(SUM(1,-0.9*(1-E57)),2)</f>
        <v>0.11</v>
      </c>
      <c r="D57" s="75" t="s">
        <v>8</v>
      </c>
      <c r="E57" s="89">
        <f>C53</f>
        <v>0.01</v>
      </c>
      <c r="F57" s="88"/>
    </row>
    <row r="58" spans="1:6" s="77" customFormat="1" ht="15" customHeight="1" x14ac:dyDescent="0.25">
      <c r="A58" s="126" t="s">
        <v>23</v>
      </c>
      <c r="B58" s="75" t="s">
        <v>5</v>
      </c>
      <c r="C58" s="127">
        <v>3.5</v>
      </c>
      <c r="D58" s="75" t="s">
        <v>24</v>
      </c>
      <c r="E58" s="7"/>
      <c r="F58" s="82"/>
    </row>
    <row r="59" spans="1:6" s="77" customFormat="1" ht="15.75" x14ac:dyDescent="0.25">
      <c r="A59" s="79" t="s">
        <v>25</v>
      </c>
      <c r="B59" s="4" t="s">
        <v>11</v>
      </c>
      <c r="C59" s="4">
        <v>2.2200000000000002</v>
      </c>
      <c r="D59" s="74" t="s">
        <v>12</v>
      </c>
      <c r="E59" s="4"/>
      <c r="F59" s="73"/>
    </row>
    <row r="60" spans="1:6" s="77" customFormat="1" ht="17.25" customHeight="1" x14ac:dyDescent="0.25">
      <c r="A60" s="91" t="s">
        <v>26</v>
      </c>
      <c r="B60" s="92"/>
      <c r="C60" s="93"/>
      <c r="D60" s="93"/>
      <c r="E60" s="93"/>
      <c r="F60" s="76">
        <f>ROUND((C54*C57)+(C55*C53*C58),2)</f>
        <v>270.02</v>
      </c>
    </row>
    <row r="61" spans="1:6" s="77" customFormat="1" ht="17.25" customHeight="1" thickBot="1" x14ac:dyDescent="0.35">
      <c r="A61" s="79" t="str">
        <f>CONCATENATE("C=","(",C54,"*",C57,"+",C55,"*",C53,"*",C58,")*",C59,"")</f>
        <v>C=(1363*0,11+3431*0,01*3,5)*2,22</v>
      </c>
      <c r="B61" s="94"/>
      <c r="C61" s="94"/>
      <c r="D61" s="94"/>
      <c r="E61" s="95"/>
      <c r="F61" s="96">
        <f>ROUND(PRODUCT(F60*C59),2)</f>
        <v>599.44000000000005</v>
      </c>
    </row>
    <row r="62" spans="1:6" s="77" customFormat="1" ht="17.25" thickBot="1" x14ac:dyDescent="0.35">
      <c r="A62" s="137" t="str">
        <f>CONCATENATE("С=",F25,"+",F42,"+",F34,"+",F52,"+",F61,)</f>
        <v>С=2511,62+12,43+1643,55+479,12+599,44</v>
      </c>
      <c r="B62" s="138"/>
      <c r="C62" s="138"/>
      <c r="D62" s="138"/>
      <c r="E62" s="139"/>
      <c r="F62" s="96">
        <f>F25+F34+F42+F52+F61</f>
        <v>5246.16</v>
      </c>
    </row>
    <row r="63" spans="1:6" s="77" customFormat="1" ht="31.5" customHeight="1" thickBot="1" x14ac:dyDescent="0.35">
      <c r="A63" s="140" t="s">
        <v>20</v>
      </c>
      <c r="B63" s="141"/>
      <c r="C63" s="142"/>
      <c r="D63" s="143">
        <f>12.930605</f>
        <v>12.930605</v>
      </c>
      <c r="E63" s="144"/>
      <c r="F63" s="128">
        <f>F62*D63</f>
        <v>67836.022726800002</v>
      </c>
    </row>
    <row r="64" spans="1:6" s="77" customFormat="1" ht="18" customHeight="1" thickBot="1" x14ac:dyDescent="0.35">
      <c r="A64" s="140" t="s">
        <v>54</v>
      </c>
      <c r="B64" s="141"/>
      <c r="C64" s="141"/>
      <c r="D64" s="141"/>
      <c r="E64" s="50">
        <v>2400</v>
      </c>
      <c r="F64" s="96">
        <f>E64*2</f>
        <v>4800</v>
      </c>
    </row>
    <row r="65" spans="1:11" s="77" customFormat="1" ht="18.75" customHeight="1" thickBot="1" x14ac:dyDescent="0.35">
      <c r="A65" s="51" t="s">
        <v>16</v>
      </c>
      <c r="B65" s="59"/>
      <c r="C65" s="59"/>
      <c r="D65" s="59"/>
      <c r="E65" s="59"/>
      <c r="F65" s="96">
        <f>F63+F64</f>
        <v>72636.022726800002</v>
      </c>
    </row>
    <row r="66" spans="1:11" s="77" customFormat="1" ht="17.25" customHeight="1" thickBot="1" x14ac:dyDescent="0.35">
      <c r="A66" s="140" t="s">
        <v>50</v>
      </c>
      <c r="B66" s="141"/>
      <c r="C66" s="141"/>
      <c r="D66" s="142"/>
      <c r="E66" s="129">
        <v>0.25</v>
      </c>
      <c r="F66" s="96">
        <f>F65*E66</f>
        <v>18159.0056817</v>
      </c>
    </row>
    <row r="67" spans="1:11" s="77" customFormat="1" ht="17.25" thickBot="1" x14ac:dyDescent="0.35">
      <c r="A67" s="51" t="s">
        <v>16</v>
      </c>
      <c r="B67" s="59"/>
      <c r="C67" s="59"/>
      <c r="D67" s="59"/>
      <c r="E67" s="59"/>
      <c r="F67" s="96">
        <f>F65+F66</f>
        <v>90795.028408500002</v>
      </c>
    </row>
    <row r="68" spans="1:11" s="77" customFormat="1" ht="17.25" thickBot="1" x14ac:dyDescent="0.35">
      <c r="A68" s="97" t="s">
        <v>17</v>
      </c>
      <c r="B68" s="130"/>
      <c r="C68" s="130"/>
      <c r="D68" s="130"/>
      <c r="E68" s="129">
        <v>0.18</v>
      </c>
      <c r="F68" s="96">
        <f>F67*E68</f>
        <v>16343.10511353</v>
      </c>
    </row>
    <row r="69" spans="1:11" s="134" customFormat="1" ht="21.75" customHeight="1" thickBot="1" x14ac:dyDescent="0.35">
      <c r="A69" s="131" t="s">
        <v>18</v>
      </c>
      <c r="B69" s="132"/>
      <c r="C69" s="132"/>
      <c r="D69" s="132"/>
      <c r="E69" s="133"/>
      <c r="F69" s="96">
        <f>F67+F68</f>
        <v>107138.13352203</v>
      </c>
    </row>
    <row r="70" spans="1:11" ht="13.5" x14ac:dyDescent="0.25">
      <c r="A70" s="10"/>
      <c r="B70" s="10"/>
      <c r="C70" s="10"/>
      <c r="D70" s="10"/>
      <c r="E70" s="10"/>
      <c r="F70" s="10"/>
    </row>
    <row r="71" spans="1:11" ht="13.5" x14ac:dyDescent="0.2">
      <c r="A71" s="135" t="s">
        <v>59</v>
      </c>
      <c r="B71" s="136"/>
      <c r="C71" s="136"/>
      <c r="D71" s="136"/>
      <c r="E71" s="136"/>
      <c r="F71" s="136"/>
    </row>
    <row r="72" spans="1:11" ht="15.75" x14ac:dyDescent="0.25">
      <c r="A72" s="6"/>
      <c r="B72" s="2"/>
      <c r="C72" s="2"/>
      <c r="D72" s="2"/>
      <c r="E72" s="2"/>
      <c r="F72" s="2"/>
    </row>
    <row r="73" spans="1:11" x14ac:dyDescent="0.2">
      <c r="A73" s="154" t="s">
        <v>71</v>
      </c>
      <c r="B73" s="154"/>
      <c r="C73" s="154"/>
      <c r="D73" s="154"/>
      <c r="E73" s="154"/>
      <c r="F73" s="154"/>
      <c r="G73" s="100"/>
      <c r="H73" s="100"/>
      <c r="I73" s="100"/>
      <c r="J73" s="100"/>
      <c r="K73" s="100"/>
    </row>
    <row r="74" spans="1:11" x14ac:dyDescent="0.2">
      <c r="A74" s="155" t="s">
        <v>72</v>
      </c>
      <c r="B74" s="155"/>
      <c r="C74" s="155"/>
      <c r="D74" s="155"/>
      <c r="E74" s="155"/>
      <c r="F74" s="155"/>
      <c r="G74" s="100"/>
      <c r="H74" s="100"/>
      <c r="I74" s="100"/>
      <c r="J74" s="100"/>
      <c r="K74" s="100"/>
    </row>
    <row r="75" spans="1:11" x14ac:dyDescent="0.2">
      <c r="A75" s="63"/>
      <c r="B75" s="98"/>
      <c r="C75" s="62"/>
      <c r="D75" s="63"/>
      <c r="E75" s="99"/>
      <c r="F75" s="99"/>
      <c r="G75" s="99"/>
      <c r="H75" s="99"/>
      <c r="I75" s="99"/>
      <c r="J75" s="99"/>
      <c r="K75" s="99"/>
    </row>
    <row r="76" spans="1:11" x14ac:dyDescent="0.2">
      <c r="A76" s="154" t="s">
        <v>73</v>
      </c>
      <c r="B76" s="154"/>
      <c r="C76" s="154"/>
      <c r="D76" s="154"/>
      <c r="E76" s="154"/>
      <c r="F76" s="154"/>
      <c r="G76" s="100"/>
      <c r="H76" s="100"/>
      <c r="I76" s="100"/>
      <c r="J76" s="100"/>
      <c r="K76" s="100"/>
    </row>
    <row r="77" spans="1:11" x14ac:dyDescent="0.2">
      <c r="A77" s="155" t="s">
        <v>72</v>
      </c>
      <c r="B77" s="155"/>
      <c r="C77" s="155"/>
      <c r="D77" s="155"/>
      <c r="E77" s="155"/>
      <c r="F77" s="155"/>
      <c r="G77" s="100"/>
      <c r="H77" s="100"/>
      <c r="I77" s="100"/>
      <c r="J77" s="100"/>
      <c r="K77" s="100"/>
    </row>
    <row r="78" spans="1:11" ht="15.75" x14ac:dyDescent="0.25">
      <c r="A78" s="2"/>
      <c r="B78" s="2"/>
      <c r="C78" s="2"/>
      <c r="D78" s="2"/>
      <c r="E78" s="2"/>
      <c r="F78" s="2"/>
    </row>
    <row r="79" spans="1:11" ht="15.75" x14ac:dyDescent="0.25">
      <c r="A79" s="2"/>
      <c r="B79" s="2"/>
      <c r="C79" s="2"/>
      <c r="D79" s="2"/>
      <c r="E79" s="2"/>
      <c r="F79" s="2"/>
    </row>
    <row r="80" spans="1:11" ht="15.75" x14ac:dyDescent="0.25">
      <c r="A80" s="2"/>
      <c r="B80" s="2"/>
      <c r="C80" s="2"/>
      <c r="D80" s="2"/>
      <c r="E80" s="2"/>
      <c r="F80" s="2"/>
    </row>
    <row r="81" spans="1:6" ht="15.75" x14ac:dyDescent="0.25">
      <c r="A81" s="2"/>
      <c r="B81" s="2"/>
      <c r="C81" s="2"/>
      <c r="D81" s="2"/>
      <c r="E81" s="2"/>
      <c r="F81" s="2"/>
    </row>
    <row r="82" spans="1:6" ht="15.75" x14ac:dyDescent="0.25">
      <c r="A82" s="2"/>
      <c r="B82" s="2"/>
      <c r="C82" s="2"/>
      <c r="D82" s="2"/>
      <c r="E82" s="2"/>
      <c r="F82" s="2"/>
    </row>
    <row r="83" spans="1:6" ht="15.75" x14ac:dyDescent="0.25">
      <c r="A83" s="2"/>
      <c r="B83" s="2"/>
      <c r="C83" s="2"/>
      <c r="D83" s="2"/>
      <c r="E83" s="2"/>
      <c r="F83" s="2"/>
    </row>
    <row r="84" spans="1:6" ht="15.75" x14ac:dyDescent="0.25">
      <c r="A84" s="2"/>
      <c r="B84" s="2"/>
      <c r="C84" s="2"/>
      <c r="D84" s="2"/>
      <c r="E84" s="2"/>
      <c r="F84" s="2"/>
    </row>
    <row r="85" spans="1:6" ht="15.75" x14ac:dyDescent="0.25">
      <c r="A85" s="2"/>
      <c r="B85" s="2"/>
      <c r="C85" s="2"/>
      <c r="D85" s="2"/>
      <c r="E85" s="2"/>
    </row>
    <row r="86" spans="1:6" ht="15.75" x14ac:dyDescent="0.25">
      <c r="A86" s="2"/>
    </row>
  </sheetData>
  <mergeCells count="20">
    <mergeCell ref="A73:F73"/>
    <mergeCell ref="A74:F74"/>
    <mergeCell ref="A76:F76"/>
    <mergeCell ref="A77:F77"/>
    <mergeCell ref="A15:F15"/>
    <mergeCell ref="A13:F13"/>
    <mergeCell ref="C1:F1"/>
    <mergeCell ref="C2:F2"/>
    <mergeCell ref="A12:F12"/>
    <mergeCell ref="A17:B17"/>
    <mergeCell ref="D19:E19"/>
    <mergeCell ref="A26:B26"/>
    <mergeCell ref="A43:B43"/>
    <mergeCell ref="A53:B53"/>
    <mergeCell ref="A71:F71"/>
    <mergeCell ref="A62:E62"/>
    <mergeCell ref="A63:C63"/>
    <mergeCell ref="D63:E63"/>
    <mergeCell ref="A64:D64"/>
    <mergeCell ref="A66:D66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п.4.3 - этап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2014-11-11T05:19:25Z</cp:lastPrinted>
  <dcterms:created xsi:type="dcterms:W3CDTF">2011-10-12T06:33:52Z</dcterms:created>
  <dcterms:modified xsi:type="dcterms:W3CDTF">2014-11-11T05:45:58Z</dcterms:modified>
</cp:coreProperties>
</file>