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6880" windowHeight="12735"/>
  </bookViews>
  <sheets>
    <sheet name="ССР к конкурсу" sheetId="1" r:id="rId1"/>
  </sheets>
  <definedNames>
    <definedName name="_xlnm.Print_Area" localSheetId="0">'ССР к конкурсу'!$A$1:$H$92</definedName>
  </definedNames>
  <calcPr calcId="145621"/>
</workbook>
</file>

<file path=xl/calcChain.xml><?xml version="1.0" encoding="utf-8"?>
<calcChain xmlns="http://schemas.openxmlformats.org/spreadsheetml/2006/main">
  <c r="G12" i="1" l="1"/>
  <c r="F16" i="1"/>
  <c r="F17" i="1"/>
  <c r="F18" i="1"/>
  <c r="F19" i="1"/>
  <c r="F20" i="1"/>
  <c r="F21" i="1"/>
  <c r="H24" i="1"/>
  <c r="F14" i="1" l="1"/>
  <c r="F85" i="1"/>
  <c r="G84" i="1"/>
  <c r="H84" i="1" s="1"/>
  <c r="G83" i="1"/>
  <c r="H83" i="1" s="1"/>
  <c r="G82" i="1"/>
  <c r="H82" i="1" s="1"/>
  <c r="G81" i="1"/>
  <c r="H81" i="1" s="1"/>
  <c r="G80" i="1"/>
  <c r="G85" i="1" s="1"/>
  <c r="G64" i="1"/>
  <c r="F64" i="1"/>
  <c r="E64" i="1"/>
  <c r="D64" i="1"/>
  <c r="H63" i="1"/>
  <c r="H62" i="1"/>
  <c r="H61" i="1"/>
  <c r="H60" i="1"/>
  <c r="H59" i="1"/>
  <c r="H64" i="1" s="1"/>
  <c r="G56" i="1"/>
  <c r="F56" i="1"/>
  <c r="H55" i="1"/>
  <c r="H54" i="1"/>
  <c r="G50" i="1"/>
  <c r="F50" i="1"/>
  <c r="G46" i="1"/>
  <c r="F46" i="1"/>
  <c r="E46" i="1"/>
  <c r="D46" i="1"/>
  <c r="H45" i="1"/>
  <c r="H44" i="1"/>
  <c r="H43" i="1"/>
  <c r="H46" i="1" s="1"/>
  <c r="G41" i="1"/>
  <c r="F41" i="1"/>
  <c r="E41" i="1"/>
  <c r="D41" i="1"/>
  <c r="H41" i="1" s="1"/>
  <c r="H40" i="1"/>
  <c r="H39" i="1"/>
  <c r="H38" i="1"/>
  <c r="G36" i="1"/>
  <c r="E36" i="1"/>
  <c r="D36" i="1"/>
  <c r="H35" i="1"/>
  <c r="H34" i="1"/>
  <c r="H33" i="1"/>
  <c r="H32" i="1"/>
  <c r="F31" i="1"/>
  <c r="F30" i="1"/>
  <c r="F28" i="1"/>
  <c r="H28" i="1" s="1"/>
  <c r="F27" i="1"/>
  <c r="F25" i="1"/>
  <c r="H25" i="1" s="1"/>
  <c r="H36" i="1"/>
  <c r="G22" i="1"/>
  <c r="E22" i="1"/>
  <c r="E47" i="1" s="1"/>
  <c r="D22" i="1"/>
  <c r="D47" i="1" s="1"/>
  <c r="F22" i="1"/>
  <c r="F47" i="1" s="1"/>
  <c r="F51" i="1" s="1"/>
  <c r="F57" i="1" s="1"/>
  <c r="F65" i="1" s="1"/>
  <c r="F71" i="1" s="1"/>
  <c r="G47" i="1"/>
  <c r="G51" i="1" s="1"/>
  <c r="G57" i="1" s="1"/>
  <c r="G65" i="1" s="1"/>
  <c r="G70" i="1" s="1"/>
  <c r="G72" i="1" l="1"/>
  <c r="H70" i="1"/>
  <c r="F72" i="1"/>
  <c r="H71" i="1"/>
  <c r="D49" i="1"/>
  <c r="E49" i="1"/>
  <c r="E50" i="1" s="1"/>
  <c r="E51" i="1" s="1"/>
  <c r="H12" i="1"/>
  <c r="H14" i="1"/>
  <c r="H22" i="1" s="1"/>
  <c r="H80" i="1"/>
  <c r="H85" i="1" s="1"/>
  <c r="E53" i="1" l="1"/>
  <c r="E56" i="1" s="1"/>
  <c r="E57" i="1" s="1"/>
  <c r="E65" i="1" s="1"/>
  <c r="E69" i="1" s="1"/>
  <c r="E72" i="1" s="1"/>
  <c r="H47" i="1"/>
  <c r="D50" i="1"/>
  <c r="D51" i="1" s="1"/>
  <c r="H49" i="1"/>
  <c r="H50" i="1" s="1"/>
  <c r="F74" i="1"/>
  <c r="F75" i="1" s="1"/>
  <c r="F76" i="1" s="1"/>
  <c r="G74" i="1"/>
  <c r="G75" i="1" s="1"/>
  <c r="G76" i="1" s="1"/>
  <c r="E74" i="1" l="1"/>
  <c r="E75" i="1" s="1"/>
  <c r="E76" i="1" s="1"/>
  <c r="D53" i="1"/>
  <c r="H51" i="1"/>
  <c r="D56" i="1" l="1"/>
  <c r="D57" i="1" s="1"/>
  <c r="D65" i="1" s="1"/>
  <c r="D69" i="1" s="1"/>
  <c r="H53" i="1"/>
  <c r="H56" i="1" s="1"/>
  <c r="H57" i="1" s="1"/>
  <c r="H65" i="1" s="1"/>
  <c r="D72" i="1" l="1"/>
  <c r="H69" i="1"/>
  <c r="H72" i="1" s="1"/>
  <c r="H74" i="1" l="1"/>
  <c r="H75" i="1" s="1"/>
  <c r="H76" i="1" s="1"/>
  <c r="F79" i="1" s="1"/>
  <c r="D74" i="1"/>
  <c r="D75" i="1" s="1"/>
  <c r="D76" i="1" s="1"/>
</calcChain>
</file>

<file path=xl/sharedStrings.xml><?xml version="1.0" encoding="utf-8"?>
<sst xmlns="http://schemas.openxmlformats.org/spreadsheetml/2006/main" count="125" uniqueCount="119">
  <si>
    <t>№№ п/п</t>
  </si>
  <si>
    <t>Наименование глав, объектов, работ и затрат</t>
  </si>
  <si>
    <t>Сметная стоимость , тыс. руб.</t>
  </si>
  <si>
    <t>Строительных работ</t>
  </si>
  <si>
    <t>Монтажных работ</t>
  </si>
  <si>
    <t>Оборудование, мебель, инвентарь</t>
  </si>
  <si>
    <t>Прочих затрат</t>
  </si>
  <si>
    <t>Всего</t>
  </si>
  <si>
    <t>Глава I. Подготовка территории строительства.</t>
  </si>
  <si>
    <t>Затраты по отводу земельного участка  (1479.34/8.11)</t>
  </si>
  <si>
    <t>Затраты по освобождению территории строительства (3186.99/8.11)</t>
  </si>
  <si>
    <t>Затраты, связанные с компенсацией за сносимые строения (43539.12/8.11)</t>
  </si>
  <si>
    <t>Итого по гл. I</t>
  </si>
  <si>
    <t>Глава II. Основные объекты строительства.</t>
  </si>
  <si>
    <t>ОС №02-01</t>
  </si>
  <si>
    <t>Административное здание</t>
  </si>
  <si>
    <t xml:space="preserve"> </t>
  </si>
  <si>
    <t>ЛСР № 02-01-19, №02-01-19А</t>
  </si>
  <si>
    <t xml:space="preserve">технологическое оборудование </t>
  </si>
  <si>
    <t>ЛСР № 02-01-20</t>
  </si>
  <si>
    <t>трансформатор мощностью 1000кВА - 2к-т</t>
  </si>
  <si>
    <t xml:space="preserve">камера 8DJH </t>
  </si>
  <si>
    <t>щиток тепловой защиты трансформатора - 2к-т</t>
  </si>
  <si>
    <t>шкаф распределительный состоящий из 7 камер</t>
  </si>
  <si>
    <t>изоляторы</t>
  </si>
  <si>
    <t>Итого по гл. II</t>
  </si>
  <si>
    <t>Глава IV. Объекты энергетического хозяйства.</t>
  </si>
  <si>
    <t>ЛСР №04-01-01</t>
  </si>
  <si>
    <r>
      <t>Электроснабжение стройплощадки 0.38кв -</t>
    </r>
    <r>
      <rPr>
        <b/>
        <sz val="11"/>
        <color theme="1"/>
        <rFont val="Times New Roman"/>
        <family val="1"/>
        <charset val="204"/>
      </rPr>
      <t>за счет затрат на временные здания и сооружения</t>
    </r>
  </si>
  <si>
    <t>ЛСР №04-02-01</t>
  </si>
  <si>
    <t>ДЭС</t>
  </si>
  <si>
    <t>ЛСР №04-03-01</t>
  </si>
  <si>
    <t>Электроснабжение 10кв.</t>
  </si>
  <si>
    <t>КРУ с вакуумным выключателем</t>
  </si>
  <si>
    <t>ячейка линейная 10кВ КСО-ЗСЭЩ</t>
  </si>
  <si>
    <t>ЛСР №04-04-01</t>
  </si>
  <si>
    <t>Электроснабжение 0.38кв</t>
  </si>
  <si>
    <t>ЛСР №04-05-01</t>
  </si>
  <si>
    <t>Наружное электроосвещение</t>
  </si>
  <si>
    <t>ЛСР №04-06-01</t>
  </si>
  <si>
    <t>Доп.смета к смете №04-05-01</t>
  </si>
  <si>
    <t>ЛСР №04-07-01</t>
  </si>
  <si>
    <r>
      <t xml:space="preserve">Электроснабжение стройплощадки 10кв </t>
    </r>
    <r>
      <rPr>
        <b/>
        <sz val="11"/>
        <color theme="1"/>
        <rFont val="Times New Roman"/>
        <family val="1"/>
        <charset val="204"/>
      </rPr>
      <t>-за счет затрат на временные здания и сооружения</t>
    </r>
  </si>
  <si>
    <t>Итого по гл. IV</t>
  </si>
  <si>
    <t>Глава VI. Наружные сети.</t>
  </si>
  <si>
    <t>ЛСР №06-01-01</t>
  </si>
  <si>
    <t>Теплотрасса</t>
  </si>
  <si>
    <t>ЛСР №06-02-01</t>
  </si>
  <si>
    <t>Наружный водопровод</t>
  </si>
  <si>
    <t>ЛСР №06-03-01</t>
  </si>
  <si>
    <t>Наружная канализация</t>
  </si>
  <si>
    <t>1,55</t>
  </si>
  <si>
    <t>Итого по гл. VI</t>
  </si>
  <si>
    <t>Глава VII. Благоустройство территории, озеленение.</t>
  </si>
  <si>
    <t>ЛСР №07-01-01</t>
  </si>
  <si>
    <t xml:space="preserve">Благоустройство </t>
  </si>
  <si>
    <t>1173,49</t>
  </si>
  <si>
    <t>ЛСР №07-02-01</t>
  </si>
  <si>
    <t xml:space="preserve">Озеленение </t>
  </si>
  <si>
    <t>ЛСР №07-05-01</t>
  </si>
  <si>
    <t xml:space="preserve">Вертикальная планировка </t>
  </si>
  <si>
    <t>Итого по гл.VII</t>
  </si>
  <si>
    <t>Итого по гл. I  VII</t>
  </si>
  <si>
    <t>Глава VIII. Временные здания и сооружения.</t>
  </si>
  <si>
    <t>ГСН81-05-01-2001 п.4.8</t>
  </si>
  <si>
    <t>Временные здания и сооружения, 1,8%</t>
  </si>
  <si>
    <t>Итого по гл. VIII</t>
  </si>
  <si>
    <t>Итого по гл. I - VIII</t>
  </si>
  <si>
    <t xml:space="preserve">Глава IX. Прочие работы и затраты. </t>
  </si>
  <si>
    <t>ГСН81-05-02-2001 п.11.4</t>
  </si>
  <si>
    <t>Затраты при производстве работ в зимнее время 4*0.9=3.6%</t>
  </si>
  <si>
    <t>МДС 81.35-2004</t>
  </si>
  <si>
    <t>Средства на покрытие затрат строительных организаций на добровольное страхование 1%</t>
  </si>
  <si>
    <t>МДС 81-11.2000</t>
  </si>
  <si>
    <t>Затраты на проведение подрядных торгов -0.3%</t>
  </si>
  <si>
    <t>Итого по гл. IХ</t>
  </si>
  <si>
    <t>Итого по гл. I – IX</t>
  </si>
  <si>
    <t>Глава Х11. Проектно-изыскательские работы</t>
  </si>
  <si>
    <t>Договор №25/В-025-2008-513 от 15.05.2008</t>
  </si>
  <si>
    <t xml:space="preserve">Средства на проектные работы </t>
  </si>
  <si>
    <t>Инженерно-геологические изыскания</t>
  </si>
  <si>
    <t>Инженерно-экологические изыскания</t>
  </si>
  <si>
    <t>Постановление Правительства Р.Ф. №145 от 05.03.07г</t>
  </si>
  <si>
    <t>Экспертиза проектно- сметной документации  8.77%</t>
  </si>
  <si>
    <t>МДС81-35.2004</t>
  </si>
  <si>
    <t>Средства на авторский надзор 0.2%</t>
  </si>
  <si>
    <t>Итого по гл. ХII</t>
  </si>
  <si>
    <t>Итого по гл. I -  ХII ( в ценах  2001года)</t>
  </si>
  <si>
    <t>перевод в цены 4кв.2013г.</t>
  </si>
  <si>
    <t>письмо Минрегиона от 12.11.2013г №21331-СД/10</t>
  </si>
  <si>
    <t>приложение №1</t>
  </si>
  <si>
    <t>строительно-монтажные работы - 6,32</t>
  </si>
  <si>
    <t>приложение №4</t>
  </si>
  <si>
    <t>прочие работы и затраты - 7,74</t>
  </si>
  <si>
    <t>приложение №5</t>
  </si>
  <si>
    <t>оборудование - 3,94</t>
  </si>
  <si>
    <t>ИТОГО</t>
  </si>
  <si>
    <t>Непредвиденные работы и затраты.</t>
  </si>
  <si>
    <t>МДС81.35-2004</t>
  </si>
  <si>
    <t>Резерв средств на непредвиденные работы и затраты  1%</t>
  </si>
  <si>
    <t>Итого непредвиденные</t>
  </si>
  <si>
    <t>Расчет стоимости объекта с учетом дефляторов</t>
  </si>
  <si>
    <t>годы строительства и поставки оборудования</t>
  </si>
  <si>
    <t>распределение по годам цена без НДС</t>
  </si>
  <si>
    <t>стоимость с учетом дефляторов без НДС</t>
  </si>
  <si>
    <t>стоимость с учетом НДС и дефляторов по годам</t>
  </si>
  <si>
    <t>дефлятор на 2014г  - 1,058 (14/13)</t>
  </si>
  <si>
    <t>дефлятор на 2015г  - 1,062 (15/14)</t>
  </si>
  <si>
    <t>дефлятор на 2016г - 1,065 (16/15)</t>
  </si>
  <si>
    <t>дефлятор на 2017г - 1,039 (17/16)</t>
  </si>
  <si>
    <t>дефлятор на 2018г - 1,034 (18/17)</t>
  </si>
  <si>
    <t xml:space="preserve">                                на объект строительства:   "Административное здание ОАО «ДРСК» в 34 квартале г. Благовещенска".</t>
  </si>
  <si>
    <t>Дизельная электростанция</t>
  </si>
  <si>
    <t xml:space="preserve">ВСЕГО  </t>
  </si>
  <si>
    <t>ВСЕГО с учетом индексов -дефляторов</t>
  </si>
  <si>
    <t>Всего по сводному сметному расчету (без поставки оборудования  Заказчиком)                   без НДС, в ценах 4 кв. 2013г.</t>
  </si>
  <si>
    <t>Сводный  сметный расчет</t>
  </si>
  <si>
    <t xml:space="preserve">*Оборудование поставки  Заказчика (с транспортом и загот.-скл): </t>
  </si>
  <si>
    <t xml:space="preserve">*Оборудование поставки  Заказчика не входит в стоимость по данному ССР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</si>
</sst>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wrapText="1"/>
    </xf>
    <xf numFmtId="4" fontId="1" fillId="0" borderId="0" xfId="0" applyNumberFormat="1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/>
    <xf numFmtId="4" fontId="4" fillId="2" borderId="1" xfId="0" applyNumberFormat="1" applyFont="1" applyFill="1" applyBorder="1"/>
    <xf numFmtId="164" fontId="0" fillId="2" borderId="1" xfId="0" applyNumberFormat="1" applyFill="1" applyBorder="1"/>
    <xf numFmtId="4" fontId="0" fillId="3" borderId="1" xfId="0" applyNumberFormat="1" applyFill="1" applyBorder="1"/>
    <xf numFmtId="164" fontId="0" fillId="3" borderId="1" xfId="0" applyNumberFormat="1" applyFill="1" applyBorder="1"/>
    <xf numFmtId="0" fontId="0" fillId="3" borderId="1" xfId="0" applyFill="1" applyBorder="1"/>
    <xf numFmtId="164" fontId="4" fillId="2" borderId="1" xfId="0" applyNumberFormat="1" applyFont="1" applyFill="1" applyBorder="1"/>
    <xf numFmtId="164" fontId="0" fillId="0" borderId="1" xfId="0" applyNumberFormat="1" applyBorder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7" fillId="0" borderId="0" xfId="0" applyFont="1"/>
    <xf numFmtId="0" fontId="8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1"/>
  <sheetViews>
    <sheetView tabSelected="1" topLeftCell="A64" zoomScaleNormal="100" workbookViewId="0">
      <selection activeCell="G94" sqref="G94"/>
    </sheetView>
  </sheetViews>
  <sheetFormatPr defaultRowHeight="15" x14ac:dyDescent="0.25"/>
  <cols>
    <col min="1" max="1" width="6.140625" customWidth="1"/>
    <col min="2" max="2" width="18.7109375" customWidth="1"/>
    <col min="3" max="3" width="45.85546875" customWidth="1"/>
    <col min="4" max="4" width="15" customWidth="1"/>
    <col min="5" max="5" width="13.85546875" customWidth="1"/>
    <col min="6" max="6" width="15.28515625" customWidth="1"/>
    <col min="7" max="7" width="13.5703125" customWidth="1"/>
    <col min="8" max="8" width="23.85546875" customWidth="1"/>
    <col min="10" max="10" width="10" bestFit="1" customWidth="1"/>
  </cols>
  <sheetData>
    <row r="1" spans="1:11" ht="18.75" x14ac:dyDescent="0.25">
      <c r="A1" s="45" t="s">
        <v>116</v>
      </c>
      <c r="B1" s="45"/>
      <c r="C1" s="45"/>
      <c r="D1" s="45"/>
      <c r="E1" s="45"/>
      <c r="F1" s="45"/>
      <c r="G1" s="45"/>
      <c r="H1" s="45"/>
    </row>
    <row r="2" spans="1:11" ht="15.75" x14ac:dyDescent="0.25">
      <c r="A2" s="46" t="s">
        <v>111</v>
      </c>
      <c r="B2" s="46"/>
      <c r="C2" s="46"/>
      <c r="D2" s="46"/>
      <c r="E2" s="46"/>
      <c r="F2" s="46"/>
      <c r="G2" s="46"/>
      <c r="H2" s="46"/>
    </row>
    <row r="3" spans="1:11" x14ac:dyDescent="0.25">
      <c r="A3" s="1"/>
    </row>
    <row r="4" spans="1:11" x14ac:dyDescent="0.25">
      <c r="A4" s="47" t="s">
        <v>0</v>
      </c>
      <c r="B4" s="47"/>
      <c r="C4" s="47" t="s">
        <v>1</v>
      </c>
      <c r="D4" s="47" t="s">
        <v>2</v>
      </c>
      <c r="E4" s="47"/>
      <c r="F4" s="47"/>
      <c r="G4" s="47"/>
      <c r="H4" s="47"/>
    </row>
    <row r="5" spans="1:11" x14ac:dyDescent="0.25">
      <c r="A5" s="47"/>
      <c r="B5" s="47"/>
      <c r="C5" s="47"/>
      <c r="D5" s="47" t="s">
        <v>3</v>
      </c>
      <c r="E5" s="47" t="s">
        <v>4</v>
      </c>
      <c r="F5" s="47" t="s">
        <v>5</v>
      </c>
      <c r="G5" s="47" t="s">
        <v>6</v>
      </c>
      <c r="H5" s="47" t="s">
        <v>7</v>
      </c>
    </row>
    <row r="6" spans="1:11" x14ac:dyDescent="0.25">
      <c r="A6" s="47"/>
      <c r="B6" s="47"/>
      <c r="C6" s="47"/>
      <c r="D6" s="47"/>
      <c r="E6" s="47"/>
      <c r="F6" s="47"/>
      <c r="G6" s="47"/>
      <c r="H6" s="47"/>
    </row>
    <row r="7" spans="1:1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</row>
    <row r="8" spans="1:11" x14ac:dyDescent="0.25">
      <c r="A8" s="40" t="s">
        <v>8</v>
      </c>
      <c r="B8" s="41"/>
      <c r="C8" s="41"/>
      <c r="D8" s="41"/>
      <c r="E8" s="41"/>
      <c r="F8" s="41"/>
      <c r="G8" s="41"/>
      <c r="H8" s="42"/>
    </row>
    <row r="9" spans="1:11" ht="30" x14ac:dyDescent="0.25">
      <c r="A9" s="2">
        <v>1</v>
      </c>
      <c r="B9" s="2"/>
      <c r="C9" s="3" t="s">
        <v>9</v>
      </c>
      <c r="D9" s="4"/>
      <c r="E9" s="4"/>
      <c r="F9" s="4"/>
      <c r="G9" s="4"/>
      <c r="H9" s="4"/>
    </row>
    <row r="10" spans="1:11" ht="30" x14ac:dyDescent="0.25">
      <c r="A10" s="2">
        <v>2</v>
      </c>
      <c r="B10" s="2"/>
      <c r="C10" s="3" t="s">
        <v>10</v>
      </c>
      <c r="D10" s="4"/>
      <c r="E10" s="4"/>
      <c r="F10" s="4"/>
      <c r="G10" s="4"/>
      <c r="H10" s="4"/>
    </row>
    <row r="11" spans="1:11" ht="30" x14ac:dyDescent="0.25">
      <c r="A11" s="2">
        <v>3</v>
      </c>
      <c r="B11" s="2"/>
      <c r="C11" s="3" t="s">
        <v>11</v>
      </c>
      <c r="D11" s="4"/>
      <c r="E11" s="4"/>
      <c r="F11" s="4"/>
      <c r="G11" s="4"/>
      <c r="H11" s="4"/>
    </row>
    <row r="12" spans="1:11" x14ac:dyDescent="0.25">
      <c r="A12" s="2"/>
      <c r="B12" s="2"/>
      <c r="C12" s="5" t="s">
        <v>12</v>
      </c>
      <c r="D12" s="6">
        <v>0</v>
      </c>
      <c r="E12" s="6">
        <v>0</v>
      </c>
      <c r="F12" s="6">
        <v>0</v>
      </c>
      <c r="G12" s="6">
        <f>G9+G10+G11</f>
        <v>0</v>
      </c>
      <c r="H12" s="6">
        <f t="shared" ref="H12" si="0">D12+E12+F12+G12</f>
        <v>0</v>
      </c>
    </row>
    <row r="13" spans="1:11" x14ac:dyDescent="0.25">
      <c r="A13" s="40" t="s">
        <v>13</v>
      </c>
      <c r="B13" s="41"/>
      <c r="C13" s="41"/>
      <c r="D13" s="41"/>
      <c r="E13" s="41"/>
      <c r="F13" s="41"/>
      <c r="G13" s="41"/>
      <c r="H13" s="42"/>
    </row>
    <row r="14" spans="1:11" x14ac:dyDescent="0.25">
      <c r="A14" s="2">
        <v>4</v>
      </c>
      <c r="B14" s="7" t="s">
        <v>14</v>
      </c>
      <c r="C14" s="3" t="s">
        <v>15</v>
      </c>
      <c r="D14" s="4">
        <v>72097.56</v>
      </c>
      <c r="E14" s="4">
        <v>5632.51</v>
      </c>
      <c r="F14" s="4">
        <f>18188.55-F16-F17-F18-F19-F20-F21</f>
        <v>3932.450669563751</v>
      </c>
      <c r="G14" s="4"/>
      <c r="H14" s="4">
        <f>D14+E14+F14+G14</f>
        <v>81662.520669563746</v>
      </c>
    </row>
    <row r="15" spans="1:11" ht="18.75" customHeight="1" x14ac:dyDescent="0.25">
      <c r="A15" s="48" t="s">
        <v>117</v>
      </c>
      <c r="B15" s="49"/>
      <c r="C15" s="49"/>
      <c r="D15" s="49"/>
      <c r="E15" s="49"/>
      <c r="F15" s="49"/>
      <c r="G15" s="49"/>
      <c r="H15" s="50"/>
      <c r="K15" t="s">
        <v>16</v>
      </c>
    </row>
    <row r="16" spans="1:11" ht="30" x14ac:dyDescent="0.25">
      <c r="A16" s="36"/>
      <c r="B16" s="37" t="s">
        <v>17</v>
      </c>
      <c r="C16" s="8" t="s">
        <v>18</v>
      </c>
      <c r="D16" s="9"/>
      <c r="E16" s="9"/>
      <c r="F16" s="10">
        <f>9464.28+172.1</f>
        <v>9636.380000000001</v>
      </c>
      <c r="G16" s="9"/>
      <c r="H16" s="9"/>
    </row>
    <row r="17" spans="1:8" x14ac:dyDescent="0.25">
      <c r="A17" s="36"/>
      <c r="B17" s="37" t="s">
        <v>19</v>
      </c>
      <c r="C17" s="8" t="s">
        <v>20</v>
      </c>
      <c r="D17" s="10"/>
      <c r="E17" s="10"/>
      <c r="F17" s="10">
        <f>(1925.924/3.09)*1.06*1.012</f>
        <v>668.60103342394837</v>
      </c>
      <c r="G17" s="9"/>
      <c r="H17" s="9"/>
    </row>
    <row r="18" spans="1:8" x14ac:dyDescent="0.25">
      <c r="A18" s="36"/>
      <c r="B18" s="37" t="s">
        <v>19</v>
      </c>
      <c r="C18" s="8" t="s">
        <v>21</v>
      </c>
      <c r="D18" s="10"/>
      <c r="E18" s="10"/>
      <c r="F18" s="10">
        <f>(5430.6/3.09)*1.06*1.012</f>
        <v>1885.2793631067966</v>
      </c>
      <c r="G18" s="9"/>
      <c r="H18" s="9"/>
    </row>
    <row r="19" spans="1:8" ht="28.5" x14ac:dyDescent="0.25">
      <c r="A19" s="36"/>
      <c r="B19" s="37" t="s">
        <v>19</v>
      </c>
      <c r="C19" s="8" t="s">
        <v>22</v>
      </c>
      <c r="D19" s="10"/>
      <c r="E19" s="10"/>
      <c r="F19" s="10">
        <f>(58.185/3.09)*1.06*1.012</f>
        <v>20.199421747572821</v>
      </c>
      <c r="G19" s="9"/>
      <c r="H19" s="9"/>
    </row>
    <row r="20" spans="1:8" ht="28.5" x14ac:dyDescent="0.25">
      <c r="A20" s="36"/>
      <c r="B20" s="37" t="s">
        <v>19</v>
      </c>
      <c r="C20" s="8" t="s">
        <v>23</v>
      </c>
      <c r="D20" s="10"/>
      <c r="E20" s="10"/>
      <c r="F20" s="10">
        <f>(5786.7069/3.09)*1.06*1.012</f>
        <v>2008.90492743301</v>
      </c>
      <c r="G20" s="9"/>
      <c r="H20" s="9"/>
    </row>
    <row r="21" spans="1:8" x14ac:dyDescent="0.25">
      <c r="A21" s="36"/>
      <c r="B21" s="37" t="s">
        <v>19</v>
      </c>
      <c r="C21" s="8" t="s">
        <v>24</v>
      </c>
      <c r="D21" s="10"/>
      <c r="E21" s="10"/>
      <c r="F21" s="10">
        <f>((101.617+3.264+0.934)/3.09)*1.06*1.012</f>
        <v>36.734584724919095</v>
      </c>
      <c r="G21" s="9"/>
      <c r="H21" s="9"/>
    </row>
    <row r="22" spans="1:8" x14ac:dyDescent="0.25">
      <c r="A22" s="2"/>
      <c r="B22" s="7"/>
      <c r="C22" s="5" t="s">
        <v>25</v>
      </c>
      <c r="D22" s="6">
        <f>D14</f>
        <v>72097.56</v>
      </c>
      <c r="E22" s="6">
        <f>E14</f>
        <v>5632.51</v>
      </c>
      <c r="F22" s="6">
        <f>F14</f>
        <v>3932.450669563751</v>
      </c>
      <c r="G22" s="6">
        <f>G14</f>
        <v>0</v>
      </c>
      <c r="H22" s="6">
        <f>H14</f>
        <v>81662.520669563746</v>
      </c>
    </row>
    <row r="23" spans="1:8" x14ac:dyDescent="0.25">
      <c r="A23" s="40" t="s">
        <v>26</v>
      </c>
      <c r="B23" s="41"/>
      <c r="C23" s="41"/>
      <c r="D23" s="41"/>
      <c r="E23" s="41"/>
      <c r="F23" s="41"/>
      <c r="G23" s="41"/>
      <c r="H23" s="42"/>
    </row>
    <row r="24" spans="1:8" ht="44.25" x14ac:dyDescent="0.25">
      <c r="A24" s="2">
        <v>5</v>
      </c>
      <c r="B24" s="11" t="s">
        <v>27</v>
      </c>
      <c r="C24" s="12" t="s">
        <v>28</v>
      </c>
      <c r="D24" s="4"/>
      <c r="E24" s="4"/>
      <c r="F24" s="4"/>
      <c r="G24" s="13"/>
      <c r="H24" s="4">
        <f>D24+E24+F24+G24</f>
        <v>0</v>
      </c>
    </row>
    <row r="25" spans="1:8" x14ac:dyDescent="0.25">
      <c r="A25" s="2">
        <v>6</v>
      </c>
      <c r="B25" s="11" t="s">
        <v>29</v>
      </c>
      <c r="C25" s="3" t="s">
        <v>30</v>
      </c>
      <c r="D25" s="4">
        <v>18.55</v>
      </c>
      <c r="E25" s="4">
        <v>6.71</v>
      </c>
      <c r="F25" s="4">
        <f>1070.46-997.889*1.06*1.012</f>
        <v>4.5119200001408899E-3</v>
      </c>
      <c r="G25" s="13">
        <v>0</v>
      </c>
      <c r="H25" s="4">
        <f t="shared" ref="H25:H35" si="1">D25+E25+F25+G25</f>
        <v>25.264511920000142</v>
      </c>
    </row>
    <row r="26" spans="1:8" ht="28.5" customHeight="1" x14ac:dyDescent="0.25">
      <c r="A26" s="48" t="s">
        <v>117</v>
      </c>
      <c r="B26" s="49"/>
      <c r="C26" s="49"/>
      <c r="D26" s="49"/>
      <c r="E26" s="49"/>
      <c r="F26" s="49"/>
      <c r="G26" s="49"/>
      <c r="H26" s="50"/>
    </row>
    <row r="27" spans="1:8" x14ac:dyDescent="0.25">
      <c r="A27" s="2"/>
      <c r="B27" s="11"/>
      <c r="C27" s="8" t="s">
        <v>112</v>
      </c>
      <c r="D27" s="10"/>
      <c r="E27" s="10"/>
      <c r="F27" s="10">
        <f>997.889*1.06*1.012</f>
        <v>1070.4554880799999</v>
      </c>
      <c r="G27" s="14"/>
      <c r="H27" s="9"/>
    </row>
    <row r="28" spans="1:8" x14ac:dyDescent="0.25">
      <c r="A28" s="2">
        <v>7</v>
      </c>
      <c r="B28" s="11" t="s">
        <v>31</v>
      </c>
      <c r="C28" s="3" t="s">
        <v>32</v>
      </c>
      <c r="D28" s="4">
        <v>49.62</v>
      </c>
      <c r="E28" s="4">
        <v>1282.94</v>
      </c>
      <c r="F28" s="4">
        <f>278.05-F30-F31</f>
        <v>4.1941599999688606E-3</v>
      </c>
      <c r="G28" s="13"/>
      <c r="H28" s="4">
        <f t="shared" si="1"/>
        <v>1332.5641941599999</v>
      </c>
    </row>
    <row r="29" spans="1:8" ht="28.5" customHeight="1" x14ac:dyDescent="0.25">
      <c r="A29" s="48" t="s">
        <v>117</v>
      </c>
      <c r="B29" s="49"/>
      <c r="C29" s="49"/>
      <c r="D29" s="49"/>
      <c r="E29" s="49"/>
      <c r="F29" s="49"/>
      <c r="G29" s="49"/>
      <c r="H29" s="50"/>
    </row>
    <row r="30" spans="1:8" x14ac:dyDescent="0.25">
      <c r="A30" s="2"/>
      <c r="B30" s="11"/>
      <c r="C30" s="8" t="s">
        <v>33</v>
      </c>
      <c r="D30" s="10"/>
      <c r="E30" s="10"/>
      <c r="F30" s="10">
        <f>205.461*1.06*1.012</f>
        <v>220.40212392000004</v>
      </c>
      <c r="G30" s="14"/>
      <c r="H30" s="9"/>
    </row>
    <row r="31" spans="1:8" x14ac:dyDescent="0.25">
      <c r="A31" s="2"/>
      <c r="B31" s="11"/>
      <c r="C31" s="8" t="s">
        <v>34</v>
      </c>
      <c r="D31" s="10"/>
      <c r="E31" s="10"/>
      <c r="F31" s="10">
        <f>53.736*1.06*1.012</f>
        <v>57.643681920000006</v>
      </c>
      <c r="G31" s="14"/>
      <c r="H31" s="9"/>
    </row>
    <row r="32" spans="1:8" x14ac:dyDescent="0.25">
      <c r="A32" s="2">
        <v>8</v>
      </c>
      <c r="B32" s="11" t="s">
        <v>35</v>
      </c>
      <c r="C32" s="3" t="s">
        <v>36</v>
      </c>
      <c r="D32" s="4">
        <v>7.3</v>
      </c>
      <c r="E32" s="4">
        <v>156.61000000000001</v>
      </c>
      <c r="F32" s="4"/>
      <c r="G32" s="13"/>
      <c r="H32" s="4">
        <f t="shared" si="1"/>
        <v>163.91000000000003</v>
      </c>
    </row>
    <row r="33" spans="1:8" x14ac:dyDescent="0.25">
      <c r="A33" s="2">
        <v>9</v>
      </c>
      <c r="B33" s="11" t="s">
        <v>37</v>
      </c>
      <c r="C33" s="3" t="s">
        <v>38</v>
      </c>
      <c r="D33" s="4">
        <v>25.11</v>
      </c>
      <c r="E33" s="4">
        <v>107.32</v>
      </c>
      <c r="F33" s="4">
        <v>0.44</v>
      </c>
      <c r="G33" s="13"/>
      <c r="H33" s="4">
        <f t="shared" si="1"/>
        <v>132.87</v>
      </c>
    </row>
    <row r="34" spans="1:8" x14ac:dyDescent="0.25">
      <c r="A34" s="2">
        <v>10</v>
      </c>
      <c r="B34" s="11" t="s">
        <v>39</v>
      </c>
      <c r="C34" s="3" t="s">
        <v>40</v>
      </c>
      <c r="D34" s="4"/>
      <c r="E34" s="4">
        <v>3.27</v>
      </c>
      <c r="F34" s="4"/>
      <c r="G34" s="13"/>
      <c r="H34" s="4">
        <f t="shared" si="1"/>
        <v>3.27</v>
      </c>
    </row>
    <row r="35" spans="1:8" ht="43.5" x14ac:dyDescent="0.25">
      <c r="A35" s="2">
        <v>11</v>
      </c>
      <c r="B35" s="11" t="s">
        <v>41</v>
      </c>
      <c r="C35" s="3" t="s">
        <v>42</v>
      </c>
      <c r="D35" s="4"/>
      <c r="E35" s="4"/>
      <c r="F35" s="4"/>
      <c r="G35" s="13"/>
      <c r="H35" s="4">
        <f t="shared" si="1"/>
        <v>0</v>
      </c>
    </row>
    <row r="36" spans="1:8" x14ac:dyDescent="0.25">
      <c r="A36" s="2"/>
      <c r="B36" s="3"/>
      <c r="C36" s="5" t="s">
        <v>43</v>
      </c>
      <c r="D36" s="6">
        <f>D24+D25+D28+D32+D33+D34+D35</f>
        <v>100.58</v>
      </c>
      <c r="E36" s="6">
        <f>E24+E25+E28+E32+E33+E34+E35</f>
        <v>1556.8500000000001</v>
      </c>
      <c r="F36" s="15">
        <v>0.44</v>
      </c>
      <c r="G36" s="6">
        <f>G24+G25+G28+G32+G33+G34+G35</f>
        <v>0</v>
      </c>
      <c r="H36" s="6">
        <f>H24+H25+H28+H32+H33+H34+H35</f>
        <v>1657.87870608</v>
      </c>
    </row>
    <row r="37" spans="1:8" x14ac:dyDescent="0.25">
      <c r="A37" s="40" t="s">
        <v>44</v>
      </c>
      <c r="B37" s="41"/>
      <c r="C37" s="41"/>
      <c r="D37" s="41"/>
      <c r="E37" s="41"/>
      <c r="F37" s="41"/>
      <c r="G37" s="41"/>
      <c r="H37" s="42"/>
    </row>
    <row r="38" spans="1:8" x14ac:dyDescent="0.25">
      <c r="A38" s="2">
        <v>12</v>
      </c>
      <c r="B38" s="11" t="s">
        <v>45</v>
      </c>
      <c r="C38" s="3" t="s">
        <v>46</v>
      </c>
      <c r="D38" s="4">
        <v>1247.26</v>
      </c>
      <c r="E38" s="4"/>
      <c r="F38" s="4"/>
      <c r="G38" s="4"/>
      <c r="H38" s="4">
        <f>D38+E38+F38+G38</f>
        <v>1247.26</v>
      </c>
    </row>
    <row r="39" spans="1:8" x14ac:dyDescent="0.25">
      <c r="A39" s="2">
        <v>13</v>
      </c>
      <c r="B39" s="11" t="s">
        <v>47</v>
      </c>
      <c r="C39" s="3" t="s">
        <v>48</v>
      </c>
      <c r="D39" s="4">
        <v>130.24</v>
      </c>
      <c r="E39" s="4"/>
      <c r="F39" s="4"/>
      <c r="G39" s="4"/>
      <c r="H39" s="4">
        <f t="shared" ref="H39:H41" si="2">D39+E39+F39+G39</f>
        <v>130.24</v>
      </c>
    </row>
    <row r="40" spans="1:8" x14ac:dyDescent="0.25">
      <c r="A40" s="2">
        <v>14</v>
      </c>
      <c r="B40" s="11" t="s">
        <v>49</v>
      </c>
      <c r="C40" s="3" t="s">
        <v>50</v>
      </c>
      <c r="D40" s="4">
        <v>110.77</v>
      </c>
      <c r="E40" s="4" t="s">
        <v>51</v>
      </c>
      <c r="F40" s="4"/>
      <c r="G40" s="4"/>
      <c r="H40" s="4">
        <f t="shared" si="2"/>
        <v>112.32</v>
      </c>
    </row>
    <row r="41" spans="1:8" x14ac:dyDescent="0.25">
      <c r="A41" s="2"/>
      <c r="B41" s="3"/>
      <c r="C41" s="5" t="s">
        <v>52</v>
      </c>
      <c r="D41" s="6">
        <f>D38+D39+D40</f>
        <v>1488.27</v>
      </c>
      <c r="E41" s="6">
        <f t="shared" ref="E41:G41" si="3">E38+E39+E40</f>
        <v>1.55</v>
      </c>
      <c r="F41" s="6">
        <f t="shared" si="3"/>
        <v>0</v>
      </c>
      <c r="G41" s="6">
        <f t="shared" si="3"/>
        <v>0</v>
      </c>
      <c r="H41" s="4">
        <f t="shared" si="2"/>
        <v>1489.82</v>
      </c>
    </row>
    <row r="42" spans="1:8" x14ac:dyDescent="0.25">
      <c r="A42" s="40" t="s">
        <v>53</v>
      </c>
      <c r="B42" s="41"/>
      <c r="C42" s="41"/>
      <c r="D42" s="41"/>
      <c r="E42" s="41"/>
      <c r="F42" s="41"/>
      <c r="G42" s="41"/>
      <c r="H42" s="42"/>
    </row>
    <row r="43" spans="1:8" x14ac:dyDescent="0.25">
      <c r="A43" s="2">
        <v>15</v>
      </c>
      <c r="B43" s="11" t="s">
        <v>54</v>
      </c>
      <c r="C43" s="3" t="s">
        <v>55</v>
      </c>
      <c r="D43" s="16" t="s">
        <v>56</v>
      </c>
      <c r="E43" s="2"/>
      <c r="F43" s="2"/>
      <c r="G43" s="2"/>
      <c r="H43" s="16">
        <f>D43+E43+F43+G43</f>
        <v>1173.49</v>
      </c>
    </row>
    <row r="44" spans="1:8" x14ac:dyDescent="0.25">
      <c r="A44" s="2">
        <v>16</v>
      </c>
      <c r="B44" s="11" t="s">
        <v>57</v>
      </c>
      <c r="C44" s="3" t="s">
        <v>58</v>
      </c>
      <c r="D44" s="16">
        <v>28.12</v>
      </c>
      <c r="E44" s="2"/>
      <c r="F44" s="2"/>
      <c r="G44" s="2"/>
      <c r="H44" s="16">
        <f t="shared" ref="H44:H45" si="4">D44+E44+F44+G44</f>
        <v>28.12</v>
      </c>
    </row>
    <row r="45" spans="1:8" x14ac:dyDescent="0.25">
      <c r="A45" s="2">
        <v>17</v>
      </c>
      <c r="B45" s="11" t="s">
        <v>59</v>
      </c>
      <c r="C45" s="3" t="s">
        <v>60</v>
      </c>
      <c r="D45" s="16">
        <v>28.78</v>
      </c>
      <c r="E45" s="2"/>
      <c r="F45" s="2"/>
      <c r="G45" s="2"/>
      <c r="H45" s="16">
        <f t="shared" si="4"/>
        <v>28.78</v>
      </c>
    </row>
    <row r="46" spans="1:8" x14ac:dyDescent="0.25">
      <c r="A46" s="2"/>
      <c r="B46" s="3"/>
      <c r="C46" s="5" t="s">
        <v>61</v>
      </c>
      <c r="D46" s="6">
        <f>D43+D44+D45</f>
        <v>1230.3899999999999</v>
      </c>
      <c r="E46" s="6">
        <f t="shared" ref="E46:H46" si="5">E43+E44+E45</f>
        <v>0</v>
      </c>
      <c r="F46" s="6">
        <f t="shared" si="5"/>
        <v>0</v>
      </c>
      <c r="G46" s="6">
        <f t="shared" si="5"/>
        <v>0</v>
      </c>
      <c r="H46" s="6">
        <f t="shared" si="5"/>
        <v>1230.3899999999999</v>
      </c>
    </row>
    <row r="47" spans="1:8" x14ac:dyDescent="0.25">
      <c r="A47" s="17"/>
      <c r="B47" s="5"/>
      <c r="C47" s="5" t="s">
        <v>62</v>
      </c>
      <c r="D47" s="6">
        <f>D12+D22+D36+D41+D46</f>
        <v>74916.800000000003</v>
      </c>
      <c r="E47" s="6">
        <f>E12+E22+E36+E41+E46</f>
        <v>7190.9100000000008</v>
      </c>
      <c r="F47" s="6">
        <f>F12+F22+F36+F41+F46</f>
        <v>3932.8906695637511</v>
      </c>
      <c r="G47" s="6">
        <f>G12+G22+G36+G41+G46</f>
        <v>0</v>
      </c>
      <c r="H47" s="6">
        <f>H12+H22+H36+H41+H46</f>
        <v>86040.609375643748</v>
      </c>
    </row>
    <row r="48" spans="1:8" x14ac:dyDescent="0.25">
      <c r="A48" s="40" t="s">
        <v>63</v>
      </c>
      <c r="B48" s="41"/>
      <c r="C48" s="41"/>
      <c r="D48" s="41"/>
      <c r="E48" s="41"/>
      <c r="F48" s="41"/>
      <c r="G48" s="41"/>
      <c r="H48" s="42"/>
    </row>
    <row r="49" spans="1:10" ht="30" x14ac:dyDescent="0.25">
      <c r="A49" s="2">
        <v>18</v>
      </c>
      <c r="B49" s="3" t="s">
        <v>64</v>
      </c>
      <c r="C49" s="12" t="s">
        <v>65</v>
      </c>
      <c r="D49" s="4">
        <f>D47*0.018</f>
        <v>1348.5023999999999</v>
      </c>
      <c r="E49" s="4">
        <f>E47*0.018</f>
        <v>129.43638000000001</v>
      </c>
      <c r="F49" s="4"/>
      <c r="G49" s="4"/>
      <c r="H49" s="4">
        <f>D49+E49+F49+G49</f>
        <v>1477.93878</v>
      </c>
    </row>
    <row r="50" spans="1:10" x14ac:dyDescent="0.25">
      <c r="A50" s="2"/>
      <c r="B50" s="3"/>
      <c r="C50" s="5" t="s">
        <v>66</v>
      </c>
      <c r="D50" s="6">
        <f>D49</f>
        <v>1348.5023999999999</v>
      </c>
      <c r="E50" s="6">
        <f t="shared" ref="E50:H50" si="6">E49</f>
        <v>129.43638000000001</v>
      </c>
      <c r="F50" s="6">
        <f t="shared" si="6"/>
        <v>0</v>
      </c>
      <c r="G50" s="6">
        <f t="shared" si="6"/>
        <v>0</v>
      </c>
      <c r="H50" s="6">
        <f t="shared" si="6"/>
        <v>1477.93878</v>
      </c>
    </row>
    <row r="51" spans="1:10" x14ac:dyDescent="0.25">
      <c r="A51" s="2"/>
      <c r="B51" s="3"/>
      <c r="C51" s="5" t="s">
        <v>67</v>
      </c>
      <c r="D51" s="6">
        <f>D47+D50</f>
        <v>76265.3024</v>
      </c>
      <c r="E51" s="6">
        <f t="shared" ref="E51:H51" si="7">E47+E50</f>
        <v>7320.3463800000009</v>
      </c>
      <c r="F51" s="6">
        <f t="shared" si="7"/>
        <v>3932.8906695637511</v>
      </c>
      <c r="G51" s="6">
        <f t="shared" si="7"/>
        <v>0</v>
      </c>
      <c r="H51" s="6">
        <f t="shared" si="7"/>
        <v>87518.548155643744</v>
      </c>
    </row>
    <row r="52" spans="1:10" x14ac:dyDescent="0.25">
      <c r="A52" s="40" t="s">
        <v>68</v>
      </c>
      <c r="B52" s="41"/>
      <c r="C52" s="41"/>
      <c r="D52" s="41"/>
      <c r="E52" s="41"/>
      <c r="F52" s="41"/>
      <c r="G52" s="41"/>
      <c r="H52" s="42"/>
    </row>
    <row r="53" spans="1:10" ht="30" x14ac:dyDescent="0.25">
      <c r="A53" s="2">
        <v>19</v>
      </c>
      <c r="B53" s="3" t="s">
        <v>69</v>
      </c>
      <c r="C53" s="3" t="s">
        <v>70</v>
      </c>
      <c r="D53" s="4">
        <f>D51*0.036</f>
        <v>2745.5508863999999</v>
      </c>
      <c r="E53" s="4">
        <f>E51*0.036</f>
        <v>263.53246968000002</v>
      </c>
      <c r="F53" s="4"/>
      <c r="G53" s="4"/>
      <c r="H53" s="4">
        <f>D53+E53+F53+G53</f>
        <v>3009.0833560799997</v>
      </c>
    </row>
    <row r="54" spans="1:10" ht="30" x14ac:dyDescent="0.25">
      <c r="A54" s="2">
        <v>20</v>
      </c>
      <c r="B54" s="3" t="s">
        <v>71</v>
      </c>
      <c r="C54" s="12" t="s">
        <v>72</v>
      </c>
      <c r="D54" s="4"/>
      <c r="E54" s="4"/>
      <c r="F54" s="4"/>
      <c r="G54" s="4"/>
      <c r="H54" s="4">
        <f t="shared" ref="H54:H55" si="8">D54+E54+F54+G54</f>
        <v>0</v>
      </c>
    </row>
    <row r="55" spans="1:10" x14ac:dyDescent="0.25">
      <c r="A55" s="2">
        <v>21</v>
      </c>
      <c r="B55" s="3" t="s">
        <v>73</v>
      </c>
      <c r="C55" s="3" t="s">
        <v>74</v>
      </c>
      <c r="D55" s="4"/>
      <c r="E55" s="4"/>
      <c r="F55" s="4"/>
      <c r="G55" s="4"/>
      <c r="H55" s="4">
        <f t="shared" si="8"/>
        <v>0</v>
      </c>
    </row>
    <row r="56" spans="1:10" x14ac:dyDescent="0.25">
      <c r="A56" s="2"/>
      <c r="B56" s="3"/>
      <c r="C56" s="5" t="s">
        <v>75</v>
      </c>
      <c r="D56" s="6">
        <f>D53+D54+D55</f>
        <v>2745.5508863999999</v>
      </c>
      <c r="E56" s="6">
        <f t="shared" ref="E56:H56" si="9">E53+E54+E55</f>
        <v>263.53246968000002</v>
      </c>
      <c r="F56" s="6">
        <f t="shared" si="9"/>
        <v>0</v>
      </c>
      <c r="G56" s="6">
        <f t="shared" si="9"/>
        <v>0</v>
      </c>
      <c r="H56" s="6">
        <f t="shared" si="9"/>
        <v>3009.0833560799997</v>
      </c>
      <c r="J56" s="18"/>
    </row>
    <row r="57" spans="1:10" x14ac:dyDescent="0.25">
      <c r="A57" s="2"/>
      <c r="B57" s="3"/>
      <c r="C57" s="5" t="s">
        <v>76</v>
      </c>
      <c r="D57" s="6">
        <f>D51+D56</f>
        <v>79010.853286400001</v>
      </c>
      <c r="E57" s="6">
        <f t="shared" ref="E57:H57" si="10">E51+E56</f>
        <v>7583.8788496800007</v>
      </c>
      <c r="F57" s="6">
        <f t="shared" si="10"/>
        <v>3932.8906695637511</v>
      </c>
      <c r="G57" s="6">
        <f t="shared" si="10"/>
        <v>0</v>
      </c>
      <c r="H57" s="6">
        <f t="shared" si="10"/>
        <v>90527.631511723739</v>
      </c>
    </row>
    <row r="58" spans="1:10" x14ac:dyDescent="0.25">
      <c r="A58" s="40" t="s">
        <v>77</v>
      </c>
      <c r="B58" s="41"/>
      <c r="C58" s="41"/>
      <c r="D58" s="41"/>
      <c r="E58" s="41"/>
      <c r="F58" s="41"/>
      <c r="G58" s="41"/>
      <c r="H58" s="42"/>
    </row>
    <row r="59" spans="1:10" ht="22.5" x14ac:dyDescent="0.25">
      <c r="A59" s="2">
        <v>22</v>
      </c>
      <c r="B59" s="19" t="s">
        <v>78</v>
      </c>
      <c r="C59" s="12" t="s">
        <v>79</v>
      </c>
      <c r="D59" s="4"/>
      <c r="E59" s="4"/>
      <c r="F59" s="4"/>
      <c r="G59" s="4"/>
      <c r="H59" s="4">
        <f>D59+E59+F59+G59</f>
        <v>0</v>
      </c>
    </row>
    <row r="60" spans="1:10" x14ac:dyDescent="0.25">
      <c r="A60" s="2">
        <v>23</v>
      </c>
      <c r="B60" s="3"/>
      <c r="C60" s="3" t="s">
        <v>80</v>
      </c>
      <c r="D60" s="4"/>
      <c r="E60" s="4"/>
      <c r="F60" s="4"/>
      <c r="G60" s="4"/>
      <c r="H60" s="4">
        <f t="shared" ref="H60:H63" si="11">D60+E60+F60+G60</f>
        <v>0</v>
      </c>
    </row>
    <row r="61" spans="1:10" x14ac:dyDescent="0.25">
      <c r="A61" s="2">
        <v>24</v>
      </c>
      <c r="B61" s="3"/>
      <c r="C61" s="3" t="s">
        <v>81</v>
      </c>
      <c r="D61" s="4"/>
      <c r="E61" s="4"/>
      <c r="F61" s="4"/>
      <c r="G61" s="4"/>
      <c r="H61" s="4">
        <f t="shared" si="11"/>
        <v>0</v>
      </c>
    </row>
    <row r="62" spans="1:10" ht="60" x14ac:dyDescent="0.25">
      <c r="A62" s="2">
        <v>25</v>
      </c>
      <c r="B62" s="3" t="s">
        <v>82</v>
      </c>
      <c r="C62" s="3" t="s">
        <v>83</v>
      </c>
      <c r="D62" s="4"/>
      <c r="E62" s="4"/>
      <c r="F62" s="4"/>
      <c r="G62" s="4"/>
      <c r="H62" s="4">
        <f t="shared" si="11"/>
        <v>0</v>
      </c>
    </row>
    <row r="63" spans="1:10" x14ac:dyDescent="0.25">
      <c r="A63" s="2">
        <v>26</v>
      </c>
      <c r="B63" s="3" t="s">
        <v>84</v>
      </c>
      <c r="C63" s="3" t="s">
        <v>85</v>
      </c>
      <c r="D63" s="4"/>
      <c r="E63" s="4"/>
      <c r="F63" s="4"/>
      <c r="G63" s="4"/>
      <c r="H63" s="4">
        <f t="shared" si="11"/>
        <v>0</v>
      </c>
    </row>
    <row r="64" spans="1:10" x14ac:dyDescent="0.25">
      <c r="A64" s="2"/>
      <c r="B64" s="3"/>
      <c r="C64" s="5" t="s">
        <v>86</v>
      </c>
      <c r="D64" s="6">
        <f>D59+D60+D61+D62+D63</f>
        <v>0</v>
      </c>
      <c r="E64" s="6">
        <f t="shared" ref="E64:H64" si="12">E59+E60+E61+E62+E63</f>
        <v>0</v>
      </c>
      <c r="F64" s="6">
        <f t="shared" si="12"/>
        <v>0</v>
      </c>
      <c r="G64" s="6">
        <f t="shared" si="12"/>
        <v>0</v>
      </c>
      <c r="H64" s="6">
        <f t="shared" si="12"/>
        <v>0</v>
      </c>
    </row>
    <row r="65" spans="1:10" x14ac:dyDescent="0.25">
      <c r="A65" s="2"/>
      <c r="B65" s="3"/>
      <c r="C65" s="5" t="s">
        <v>87</v>
      </c>
      <c r="D65" s="6">
        <f>D57+D64</f>
        <v>79010.853286400001</v>
      </c>
      <c r="E65" s="6">
        <f>E57+E64</f>
        <v>7583.8788496800007</v>
      </c>
      <c r="F65" s="6">
        <f>F57+F64</f>
        <v>3932.8906695637511</v>
      </c>
      <c r="G65" s="6">
        <f>G57+G64</f>
        <v>0</v>
      </c>
      <c r="H65" s="6">
        <f>H57+H64</f>
        <v>90527.631511723739</v>
      </c>
    </row>
    <row r="66" spans="1:10" x14ac:dyDescent="0.25">
      <c r="A66" s="2"/>
      <c r="B66" s="3"/>
      <c r="C66" s="5"/>
      <c r="D66" s="6"/>
      <c r="E66" s="6"/>
      <c r="F66" s="6"/>
      <c r="G66" s="6"/>
      <c r="H66" s="6"/>
    </row>
    <row r="67" spans="1:10" x14ac:dyDescent="0.25">
      <c r="A67" s="2"/>
      <c r="B67" s="43" t="s">
        <v>88</v>
      </c>
      <c r="C67" s="43"/>
      <c r="D67" s="6"/>
      <c r="E67" s="6"/>
      <c r="F67" s="6"/>
      <c r="G67" s="6"/>
      <c r="H67" s="6"/>
    </row>
    <row r="68" spans="1:10" x14ac:dyDescent="0.25">
      <c r="A68" s="2"/>
      <c r="B68" s="44" t="s">
        <v>89</v>
      </c>
      <c r="C68" s="44"/>
      <c r="D68" s="6"/>
      <c r="E68" s="6"/>
      <c r="F68" s="6"/>
      <c r="G68" s="6"/>
      <c r="H68" s="6"/>
    </row>
    <row r="69" spans="1:10" x14ac:dyDescent="0.25">
      <c r="A69" s="2"/>
      <c r="B69" s="3" t="s">
        <v>90</v>
      </c>
      <c r="C69" s="5" t="s">
        <v>91</v>
      </c>
      <c r="D69" s="6">
        <f>D65*6.32</f>
        <v>499348.59277004801</v>
      </c>
      <c r="E69" s="6">
        <f>E65*6.32</f>
        <v>47930.114329977609</v>
      </c>
      <c r="F69" s="6"/>
      <c r="G69" s="6"/>
      <c r="H69" s="6">
        <f>D69+E69+F69+G69</f>
        <v>547278.70710002561</v>
      </c>
    </row>
    <row r="70" spans="1:10" x14ac:dyDescent="0.25">
      <c r="A70" s="2"/>
      <c r="B70" s="3" t="s">
        <v>92</v>
      </c>
      <c r="C70" s="5" t="s">
        <v>93</v>
      </c>
      <c r="D70" s="6"/>
      <c r="E70" s="6"/>
      <c r="F70" s="6"/>
      <c r="G70" s="6">
        <f>G65*7.74</f>
        <v>0</v>
      </c>
      <c r="H70" s="6">
        <f t="shared" ref="H70:H71" si="13">D70+E70+F70+G70</f>
        <v>0</v>
      </c>
    </row>
    <row r="71" spans="1:10" x14ac:dyDescent="0.25">
      <c r="A71" s="2"/>
      <c r="B71" s="3" t="s">
        <v>94</v>
      </c>
      <c r="C71" s="5" t="s">
        <v>95</v>
      </c>
      <c r="D71" s="6"/>
      <c r="E71" s="6"/>
      <c r="F71" s="6">
        <f>F65*3.94</f>
        <v>15495.589238081178</v>
      </c>
      <c r="G71" s="6"/>
      <c r="H71" s="6">
        <f t="shared" si="13"/>
        <v>15495.589238081178</v>
      </c>
    </row>
    <row r="72" spans="1:10" x14ac:dyDescent="0.25">
      <c r="A72" s="2"/>
      <c r="B72" s="3"/>
      <c r="C72" s="5" t="s">
        <v>96</v>
      </c>
      <c r="D72" s="6">
        <f>D69+D70+D71</f>
        <v>499348.59277004801</v>
      </c>
      <c r="E72" s="6">
        <f t="shared" ref="E72:H72" si="14">E69+E70+E71</f>
        <v>47930.114329977609</v>
      </c>
      <c r="F72" s="6">
        <f>F69+F70+F71</f>
        <v>15495.589238081178</v>
      </c>
      <c r="G72" s="6">
        <f t="shared" si="14"/>
        <v>0</v>
      </c>
      <c r="H72" s="6">
        <f t="shared" si="14"/>
        <v>562774.29633810674</v>
      </c>
      <c r="J72" s="18"/>
    </row>
    <row r="73" spans="1:10" x14ac:dyDescent="0.25">
      <c r="A73" s="40" t="s">
        <v>97</v>
      </c>
      <c r="B73" s="41"/>
      <c r="C73" s="41"/>
      <c r="D73" s="41"/>
      <c r="E73" s="41"/>
      <c r="F73" s="41"/>
      <c r="G73" s="41"/>
      <c r="H73" s="42"/>
    </row>
    <row r="74" spans="1:10" ht="30" x14ac:dyDescent="0.25">
      <c r="A74" s="2">
        <v>27</v>
      </c>
      <c r="B74" s="3" t="s">
        <v>98</v>
      </c>
      <c r="C74" s="3" t="s">
        <v>99</v>
      </c>
      <c r="D74" s="4">
        <f>D72*0.01</f>
        <v>4993.4859277004798</v>
      </c>
      <c r="E74" s="4">
        <f>E72*0.01</f>
        <v>479.30114329977607</v>
      </c>
      <c r="F74" s="4">
        <f>F72*0.01</f>
        <v>154.95589238081178</v>
      </c>
      <c r="G74" s="4">
        <f>G72*0.01</f>
        <v>0</v>
      </c>
      <c r="H74" s="4">
        <f>H72*0.01</f>
        <v>5627.7429633810671</v>
      </c>
    </row>
    <row r="75" spans="1:10" x14ac:dyDescent="0.25">
      <c r="A75" s="2"/>
      <c r="B75" s="3"/>
      <c r="C75" s="3" t="s">
        <v>100</v>
      </c>
      <c r="D75" s="4">
        <f>D74</f>
        <v>4993.4859277004798</v>
      </c>
      <c r="E75" s="4">
        <f t="shared" ref="E75:H75" si="15">E74</f>
        <v>479.30114329977607</v>
      </c>
      <c r="F75" s="4">
        <f t="shared" si="15"/>
        <v>154.95589238081178</v>
      </c>
      <c r="G75" s="4">
        <f t="shared" si="15"/>
        <v>0</v>
      </c>
      <c r="H75" s="4">
        <f t="shared" si="15"/>
        <v>5627.7429633810671</v>
      </c>
    </row>
    <row r="76" spans="1:10" ht="43.5" x14ac:dyDescent="0.25">
      <c r="A76" s="2">
        <v>28</v>
      </c>
      <c r="B76" s="3"/>
      <c r="C76" s="20" t="s">
        <v>115</v>
      </c>
      <c r="D76" s="6">
        <f>D72+D75</f>
        <v>504342.07869774848</v>
      </c>
      <c r="E76" s="6">
        <f>E72+E75</f>
        <v>48409.415473277382</v>
      </c>
      <c r="F76" s="6">
        <f>F72+F75</f>
        <v>15650.545130461991</v>
      </c>
      <c r="G76" s="6">
        <f>G72+G75</f>
        <v>0</v>
      </c>
      <c r="H76" s="6">
        <f>H72+H75</f>
        <v>568402.03930148785</v>
      </c>
    </row>
    <row r="77" spans="1:10" x14ac:dyDescent="0.25">
      <c r="A77" s="21"/>
      <c r="B77" s="22"/>
      <c r="C77" s="23"/>
      <c r="D77" s="24"/>
      <c r="E77" s="24"/>
      <c r="F77" s="24"/>
      <c r="G77" s="24"/>
      <c r="H77" s="24"/>
    </row>
    <row r="78" spans="1:10" ht="60" customHeight="1" x14ac:dyDescent="0.25">
      <c r="A78" s="25"/>
      <c r="B78" s="25"/>
      <c r="C78" s="26" t="s">
        <v>101</v>
      </c>
      <c r="D78" s="25"/>
      <c r="E78" s="27" t="s">
        <v>102</v>
      </c>
      <c r="F78" s="27" t="s">
        <v>103</v>
      </c>
      <c r="G78" s="27" t="s">
        <v>104</v>
      </c>
      <c r="H78" s="27" t="s">
        <v>105</v>
      </c>
    </row>
    <row r="79" spans="1:10" x14ac:dyDescent="0.25">
      <c r="A79" s="25"/>
      <c r="B79" s="25"/>
      <c r="C79" s="28" t="s">
        <v>113</v>
      </c>
      <c r="D79" s="28"/>
      <c r="E79" s="28"/>
      <c r="F79" s="29">
        <f>H76</f>
        <v>568402.03930148785</v>
      </c>
      <c r="G79" s="29"/>
      <c r="H79" s="30"/>
    </row>
    <row r="80" spans="1:10" x14ac:dyDescent="0.25">
      <c r="A80" s="25"/>
      <c r="B80" s="25"/>
      <c r="C80" s="25" t="s">
        <v>106</v>
      </c>
      <c r="D80" s="25"/>
      <c r="E80" s="25">
        <v>2014</v>
      </c>
      <c r="F80" s="31">
        <v>35000</v>
      </c>
      <c r="G80" s="31">
        <f>F80*1.058</f>
        <v>37030</v>
      </c>
      <c r="H80" s="32">
        <f>G80*1.18</f>
        <v>43695.399999999994</v>
      </c>
    </row>
    <row r="81" spans="1:8" x14ac:dyDescent="0.25">
      <c r="A81" s="25"/>
      <c r="B81" s="25"/>
      <c r="C81" s="25" t="s">
        <v>107</v>
      </c>
      <c r="D81" s="25"/>
      <c r="E81" s="25">
        <v>2015</v>
      </c>
      <c r="F81" s="31">
        <v>160000</v>
      </c>
      <c r="G81" s="31">
        <f>F81*1.058*1.062</f>
        <v>179775.36000000002</v>
      </c>
      <c r="H81" s="32">
        <f t="shared" ref="H81:H84" si="16">G81*1.18</f>
        <v>212134.92480000001</v>
      </c>
    </row>
    <row r="82" spans="1:8" x14ac:dyDescent="0.25">
      <c r="A82" s="25"/>
      <c r="B82" s="25"/>
      <c r="C82" s="25" t="s">
        <v>108</v>
      </c>
      <c r="D82" s="25"/>
      <c r="E82" s="25">
        <v>2016</v>
      </c>
      <c r="F82" s="31">
        <v>160000</v>
      </c>
      <c r="G82" s="31">
        <f>F82*1.058*1.062*1.065</f>
        <v>191460.75840000002</v>
      </c>
      <c r="H82" s="32">
        <f t="shared" si="16"/>
        <v>225923.69491200001</v>
      </c>
    </row>
    <row r="83" spans="1:8" x14ac:dyDescent="0.25">
      <c r="A83" s="25"/>
      <c r="B83" s="25"/>
      <c r="C83" s="25" t="s">
        <v>109</v>
      </c>
      <c r="D83" s="25"/>
      <c r="E83" s="25">
        <v>2017</v>
      </c>
      <c r="F83" s="31">
        <v>160000</v>
      </c>
      <c r="G83" s="31">
        <f>F83*1.058*1.062*1.065*1.039</f>
        <v>198927.72797760001</v>
      </c>
      <c r="H83" s="32">
        <f t="shared" si="16"/>
        <v>234734.71901356798</v>
      </c>
    </row>
    <row r="84" spans="1:8" x14ac:dyDescent="0.25">
      <c r="A84" s="25"/>
      <c r="B84" s="25"/>
      <c r="C84" s="25" t="s">
        <v>110</v>
      </c>
      <c r="D84" s="25"/>
      <c r="E84" s="25">
        <v>2018</v>
      </c>
      <c r="F84" s="33">
        <v>53402.04</v>
      </c>
      <c r="G84" s="31">
        <f>F84*1.058*1.062*1.065*1.039*1.034</f>
        <v>68652.084169451613</v>
      </c>
      <c r="H84" s="32">
        <f t="shared" si="16"/>
        <v>81009.459319952904</v>
      </c>
    </row>
    <row r="85" spans="1:8" x14ac:dyDescent="0.25">
      <c r="A85" s="25"/>
      <c r="B85" s="25"/>
      <c r="C85" s="28" t="s">
        <v>114</v>
      </c>
      <c r="D85" s="28"/>
      <c r="E85" s="28"/>
      <c r="F85" s="29">
        <f>SUM(F80:F84)</f>
        <v>568402.04</v>
      </c>
      <c r="G85" s="29">
        <f>SUM(G80:G84)</f>
        <v>675845.9305470516</v>
      </c>
      <c r="H85" s="34">
        <f>SUM(H80:H84)</f>
        <v>797498.19804552093</v>
      </c>
    </row>
    <row r="86" spans="1:8" x14ac:dyDescent="0.25">
      <c r="A86" s="25"/>
      <c r="B86" s="25"/>
      <c r="C86" s="25"/>
      <c r="D86" s="25"/>
      <c r="E86" s="25"/>
      <c r="F86" s="25"/>
      <c r="G86" s="25"/>
      <c r="H86" s="35"/>
    </row>
    <row r="87" spans="1:8" x14ac:dyDescent="0.25">
      <c r="B87" t="s">
        <v>118</v>
      </c>
    </row>
    <row r="88" spans="1:8" ht="18.75" x14ac:dyDescent="0.3">
      <c r="C88" s="39"/>
      <c r="D88" s="38"/>
      <c r="E88" s="38"/>
      <c r="F88" s="38"/>
      <c r="G88" s="38"/>
    </row>
    <row r="89" spans="1:8" ht="18.75" x14ac:dyDescent="0.3">
      <c r="C89" s="39"/>
      <c r="D89" s="38"/>
      <c r="E89" s="38"/>
      <c r="F89" s="38"/>
      <c r="G89" s="38"/>
    </row>
    <row r="90" spans="1:8" ht="18.75" x14ac:dyDescent="0.3">
      <c r="C90" s="39"/>
      <c r="D90" s="38"/>
      <c r="E90" s="38"/>
      <c r="F90" s="38"/>
      <c r="G90" s="38"/>
    </row>
    <row r="91" spans="1:8" ht="18.75" x14ac:dyDescent="0.3">
      <c r="C91" s="38"/>
      <c r="D91" s="38"/>
      <c r="E91" s="38"/>
      <c r="F91" s="38"/>
      <c r="G91" s="38"/>
    </row>
  </sheetData>
  <mergeCells count="25">
    <mergeCell ref="A8:H8"/>
    <mergeCell ref="A1:H1"/>
    <mergeCell ref="A2:H2"/>
    <mergeCell ref="A4:A6"/>
    <mergeCell ref="B4:B6"/>
    <mergeCell ref="C4:C6"/>
    <mergeCell ref="D4:H4"/>
    <mergeCell ref="D5:D6"/>
    <mergeCell ref="E5:E6"/>
    <mergeCell ref="F5:F6"/>
    <mergeCell ref="G5:G6"/>
    <mergeCell ref="H5:H6"/>
    <mergeCell ref="A58:H58"/>
    <mergeCell ref="B67:C67"/>
    <mergeCell ref="B68:C68"/>
    <mergeCell ref="A73:H73"/>
    <mergeCell ref="A13:H13"/>
    <mergeCell ref="A23:H23"/>
    <mergeCell ref="A37:H37"/>
    <mergeCell ref="A48:H48"/>
    <mergeCell ref="A52:H52"/>
    <mergeCell ref="A42:H42"/>
    <mergeCell ref="A15:H15"/>
    <mergeCell ref="A26:H26"/>
    <mergeCell ref="A29:H29"/>
  </mergeCells>
  <pageMargins left="0.23622047244094491" right="0.23622047244094491" top="0.74803149606299213" bottom="0.74803149606299213" header="0.31496062992125984" footer="0.31496062992125984"/>
  <pageSetup paperSize="9" scale="8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 к конкурсу</vt:lpstr>
      <vt:lpstr>'ССР к конкурсу'!Область_печати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smeta</dc:creator>
  <cp:lastModifiedBy>smeta</cp:lastModifiedBy>
  <cp:lastPrinted>2014-07-15T01:05:26Z</cp:lastPrinted>
  <dcterms:created xsi:type="dcterms:W3CDTF">2014-07-15T00:27:27Z</dcterms:created>
  <dcterms:modified xsi:type="dcterms:W3CDTF">2014-07-17T01:41:37Z</dcterms:modified>
</cp:coreProperties>
</file>