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4235" windowHeight="7005" tabRatio="658" firstSheet="2" activeTab="2"/>
  </bookViews>
  <sheets>
    <sheet name="цена без оборудования Заказчика" sheetId="4" r:id="rId1"/>
    <sheet name="с учетом всех предполаг затрат " sheetId="7" r:id="rId2"/>
    <sheet name="с учет.всех затр с изм.по годам" sheetId="11" r:id="rId3"/>
  </sheets>
  <definedNames>
    <definedName name="_xlnm.Print_Area" localSheetId="2">'с учет.всех затр с изм.по годам'!$A$1:$H$121</definedName>
  </definedNames>
  <calcPr calcId="145621"/>
</workbook>
</file>

<file path=xl/calcChain.xml><?xml version="1.0" encoding="utf-8"?>
<calcChain xmlns="http://schemas.openxmlformats.org/spreadsheetml/2006/main">
  <c r="H104" i="11" l="1"/>
  <c r="G94" i="11"/>
  <c r="G82" i="11" l="1"/>
  <c r="F90" i="11"/>
  <c r="F88" i="11"/>
  <c r="F83" i="11" l="1"/>
  <c r="F84" i="11"/>
  <c r="F99" i="11" l="1"/>
  <c r="F100" i="11" l="1"/>
  <c r="F98" i="11" l="1"/>
  <c r="G98" i="11" s="1"/>
  <c r="F97" i="11"/>
  <c r="F94" i="11"/>
  <c r="F32" i="11" l="1"/>
  <c r="D42" i="11"/>
  <c r="F31" i="11"/>
  <c r="F21" i="11"/>
  <c r="F20" i="11"/>
  <c r="F19" i="11"/>
  <c r="F18" i="11"/>
  <c r="F17" i="11"/>
  <c r="F14" i="11" l="1"/>
  <c r="F28" i="11"/>
  <c r="F91" i="11" s="1"/>
  <c r="G91" i="11" s="1"/>
  <c r="F37" i="11"/>
  <c r="E37" i="11"/>
  <c r="I19" i="11" l="1"/>
  <c r="E121" i="11"/>
  <c r="G121" i="11" s="1"/>
  <c r="H113" i="11"/>
  <c r="H112" i="11"/>
  <c r="H110" i="11"/>
  <c r="H109" i="11"/>
  <c r="G100" i="11"/>
  <c r="H100" i="11" s="1"/>
  <c r="G99" i="11"/>
  <c r="H99" i="11" s="1"/>
  <c r="H98" i="11"/>
  <c r="H94" i="11"/>
  <c r="F86" i="11"/>
  <c r="G85" i="11"/>
  <c r="H85" i="11" s="1"/>
  <c r="G84" i="11"/>
  <c r="H84" i="11" s="1"/>
  <c r="G83" i="11"/>
  <c r="H83" i="11" s="1"/>
  <c r="H82" i="11"/>
  <c r="G81" i="11"/>
  <c r="G65" i="11"/>
  <c r="F65" i="11"/>
  <c r="E65" i="11"/>
  <c r="D65" i="11"/>
  <c r="H64" i="11"/>
  <c r="H63" i="11"/>
  <c r="H62" i="11"/>
  <c r="H61" i="11"/>
  <c r="H60" i="11"/>
  <c r="G57" i="11"/>
  <c r="F57" i="11"/>
  <c r="H56" i="11"/>
  <c r="H55" i="11"/>
  <c r="G51" i="11"/>
  <c r="F51" i="11"/>
  <c r="G47" i="11"/>
  <c r="F47" i="11"/>
  <c r="E47" i="11"/>
  <c r="D47" i="11"/>
  <c r="H46" i="11"/>
  <c r="H45" i="11"/>
  <c r="H44" i="11"/>
  <c r="G42" i="11"/>
  <c r="F42" i="11"/>
  <c r="E42" i="11"/>
  <c r="H41" i="11"/>
  <c r="H40" i="11"/>
  <c r="H39" i="11"/>
  <c r="G37" i="11"/>
  <c r="D37" i="11"/>
  <c r="H36" i="11"/>
  <c r="H35" i="11"/>
  <c r="H34" i="11"/>
  <c r="H33" i="11"/>
  <c r="H29" i="11"/>
  <c r="H91" i="11"/>
  <c r="H26" i="11"/>
  <c r="H25" i="11"/>
  <c r="G23" i="11"/>
  <c r="E23" i="11"/>
  <c r="D23" i="11"/>
  <c r="G12" i="11"/>
  <c r="H11" i="11"/>
  <c r="H10" i="11"/>
  <c r="H9" i="11"/>
  <c r="G90" i="11" l="1"/>
  <c r="F92" i="11"/>
  <c r="E48" i="11"/>
  <c r="E50" i="11" s="1"/>
  <c r="E51" i="11" s="1"/>
  <c r="E52" i="11" s="1"/>
  <c r="D48" i="11"/>
  <c r="D50" i="11" s="1"/>
  <c r="G86" i="11"/>
  <c r="F101" i="11"/>
  <c r="F103" i="11" s="1"/>
  <c r="G48" i="11"/>
  <c r="G52" i="11" s="1"/>
  <c r="G58" i="11" s="1"/>
  <c r="G66" i="11" s="1"/>
  <c r="G71" i="11" s="1"/>
  <c r="H71" i="11" s="1"/>
  <c r="H47" i="11"/>
  <c r="H65" i="11"/>
  <c r="H81" i="11"/>
  <c r="H86" i="11" s="1"/>
  <c r="H116" i="11"/>
  <c r="G97" i="11"/>
  <c r="H97" i="11" s="1"/>
  <c r="H101" i="11" s="1"/>
  <c r="H37" i="11"/>
  <c r="H12" i="11"/>
  <c r="H42" i="11"/>
  <c r="G73" i="11" l="1"/>
  <c r="G75" i="11" s="1"/>
  <c r="G76" i="11" s="1"/>
  <c r="G77" i="11" s="1"/>
  <c r="G101" i="11"/>
  <c r="G103" i="11" s="1"/>
  <c r="E54" i="11"/>
  <c r="E57" i="11" s="1"/>
  <c r="E58" i="11" s="1"/>
  <c r="E66" i="11" s="1"/>
  <c r="D51" i="11"/>
  <c r="D52" i="11" s="1"/>
  <c r="H50" i="11"/>
  <c r="H51" i="11" s="1"/>
  <c r="F23" i="11"/>
  <c r="F48" i="11" s="1"/>
  <c r="H14" i="11"/>
  <c r="H23" i="11" s="1"/>
  <c r="H48" i="11" s="1"/>
  <c r="H52" i="11" s="1"/>
  <c r="F52" i="11" l="1"/>
  <c r="F58" i="11" s="1"/>
  <c r="F66" i="11" s="1"/>
  <c r="F72" i="11" s="1"/>
  <c r="E70" i="11"/>
  <c r="E73" i="11" s="1"/>
  <c r="E75" i="11" s="1"/>
  <c r="E76" i="11" s="1"/>
  <c r="E77" i="11" s="1"/>
  <c r="D54" i="11"/>
  <c r="I34" i="4"/>
  <c r="I33" i="4"/>
  <c r="I30" i="4"/>
  <c r="I23" i="4"/>
  <c r="I22" i="4"/>
  <c r="I21" i="4"/>
  <c r="I20" i="4"/>
  <c r="I19" i="4"/>
  <c r="I18" i="4"/>
  <c r="F73" i="11" l="1"/>
  <c r="H72" i="11"/>
  <c r="F16" i="4"/>
  <c r="I25" i="4"/>
  <c r="I50" i="4" s="1"/>
  <c r="I68" i="4" s="1"/>
  <c r="I74" i="4" s="1"/>
  <c r="I75" i="4" s="1"/>
  <c r="I79" i="4" s="1"/>
  <c r="H90" i="11"/>
  <c r="H92" i="11" s="1"/>
  <c r="G92" i="11"/>
  <c r="H54" i="11"/>
  <c r="H57" i="11" s="1"/>
  <c r="H58" i="11" s="1"/>
  <c r="H66" i="11" s="1"/>
  <c r="D57" i="11"/>
  <c r="D58" i="11" s="1"/>
  <c r="D66" i="11" s="1"/>
  <c r="D70" i="11" s="1"/>
  <c r="F75" i="11"/>
  <c r="F76" i="11" s="1"/>
  <c r="F77" i="11" s="1"/>
  <c r="F85" i="4"/>
  <c r="G84" i="4"/>
  <c r="H84" i="4" s="1"/>
  <c r="G83" i="4"/>
  <c r="H103" i="11" l="1"/>
  <c r="H118" i="11" s="1"/>
  <c r="H70" i="11"/>
  <c r="H73" i="11" s="1"/>
  <c r="D73" i="11"/>
  <c r="H83" i="4"/>
  <c r="G85" i="4"/>
  <c r="H85" i="4" s="1"/>
  <c r="E119" i="7"/>
  <c r="G119" i="7" s="1"/>
  <c r="D75" i="11" l="1"/>
  <c r="D76" i="11" s="1"/>
  <c r="D77" i="11" s="1"/>
  <c r="H75" i="11"/>
  <c r="H76" i="11" s="1"/>
  <c r="H77" i="11" s="1"/>
  <c r="F21" i="7"/>
  <c r="F20" i="7"/>
  <c r="F19" i="7"/>
  <c r="F18" i="7"/>
  <c r="F17" i="7"/>
  <c r="F80" i="11" l="1"/>
  <c r="H107" i="7"/>
  <c r="F99" i="7"/>
  <c r="F100" i="7"/>
  <c r="G82" i="7"/>
  <c r="F83" i="7"/>
  <c r="G83" i="7" s="1"/>
  <c r="H110" i="7"/>
  <c r="H108" i="7"/>
  <c r="H111" i="7"/>
  <c r="H114" i="7" l="1"/>
  <c r="G94" i="7"/>
  <c r="H94" i="7" s="1"/>
  <c r="F98" i="7"/>
  <c r="G98" i="7" s="1"/>
  <c r="H98" i="7" s="1"/>
  <c r="F97" i="7"/>
  <c r="F101" i="7" s="1"/>
  <c r="G100" i="7"/>
  <c r="H100" i="7" s="1"/>
  <c r="G99" i="7"/>
  <c r="H99" i="7" s="1"/>
  <c r="G97" i="7" l="1"/>
  <c r="G101" i="7" s="1"/>
  <c r="H97" i="7" l="1"/>
  <c r="H101" i="7" s="1"/>
  <c r="F94" i="7" l="1"/>
  <c r="G81" i="7"/>
  <c r="G65" i="7"/>
  <c r="F65" i="7"/>
  <c r="E65" i="7"/>
  <c r="D65" i="7"/>
  <c r="H64" i="7"/>
  <c r="H63" i="7"/>
  <c r="H62" i="7"/>
  <c r="H61" i="7"/>
  <c r="H60" i="7"/>
  <c r="G57" i="7"/>
  <c r="F57" i="7"/>
  <c r="H56" i="7"/>
  <c r="H55" i="7"/>
  <c r="G51" i="7"/>
  <c r="F51" i="7"/>
  <c r="G47" i="7"/>
  <c r="F47" i="7"/>
  <c r="E47" i="7"/>
  <c r="D47" i="7"/>
  <c r="H46" i="7"/>
  <c r="H45" i="7"/>
  <c r="H44" i="7"/>
  <c r="G42" i="7"/>
  <c r="F42" i="7"/>
  <c r="E42" i="7"/>
  <c r="D42" i="7"/>
  <c r="H41" i="7"/>
  <c r="H40" i="7"/>
  <c r="H39" i="7"/>
  <c r="G37" i="7"/>
  <c r="E37" i="7"/>
  <c r="D37" i="7"/>
  <c r="H36" i="7"/>
  <c r="H35" i="7"/>
  <c r="H34" i="7"/>
  <c r="H33" i="7"/>
  <c r="F32" i="7"/>
  <c r="F31" i="7"/>
  <c r="F28" i="7"/>
  <c r="F91" i="7" s="1"/>
  <c r="G91" i="7" s="1"/>
  <c r="H91" i="7" s="1"/>
  <c r="F26" i="7"/>
  <c r="H26" i="7" s="1"/>
  <c r="H25" i="7"/>
  <c r="G23" i="7"/>
  <c r="E23" i="7"/>
  <c r="D23" i="7"/>
  <c r="F16" i="7"/>
  <c r="G12" i="7"/>
  <c r="H11" i="7"/>
  <c r="H10" i="7"/>
  <c r="H9" i="7"/>
  <c r="E48" i="7" l="1"/>
  <c r="H65" i="7"/>
  <c r="G48" i="7"/>
  <c r="G52" i="7" s="1"/>
  <c r="G58" i="7" s="1"/>
  <c r="G66" i="7" s="1"/>
  <c r="G71" i="7" s="1"/>
  <c r="H71" i="7" s="1"/>
  <c r="D48" i="7"/>
  <c r="F88" i="7"/>
  <c r="F90" i="7" s="1"/>
  <c r="F29" i="7"/>
  <c r="H29" i="7" s="1"/>
  <c r="H37" i="7" s="1"/>
  <c r="H42" i="7"/>
  <c r="H12" i="7"/>
  <c r="F14" i="7"/>
  <c r="F23" i="7" s="1"/>
  <c r="H47" i="7"/>
  <c r="G73" i="7"/>
  <c r="D50" i="7"/>
  <c r="H83" i="7"/>
  <c r="H82" i="7"/>
  <c r="E50" i="7"/>
  <c r="E51" i="7" s="1"/>
  <c r="E52" i="7" s="1"/>
  <c r="H81" i="7"/>
  <c r="H14" i="7" l="1"/>
  <c r="H23" i="7" s="1"/>
  <c r="F48" i="7"/>
  <c r="F52" i="7" s="1"/>
  <c r="F58" i="7" s="1"/>
  <c r="F66" i="7" s="1"/>
  <c r="F72" i="7" s="1"/>
  <c r="G90" i="7"/>
  <c r="F92" i="7"/>
  <c r="H48" i="7"/>
  <c r="E54" i="7"/>
  <c r="E57" i="7" s="1"/>
  <c r="E58" i="7" s="1"/>
  <c r="E66" i="7" s="1"/>
  <c r="E70" i="7" s="1"/>
  <c r="E73" i="7" s="1"/>
  <c r="D51" i="7"/>
  <c r="D52" i="7" s="1"/>
  <c r="H50" i="7"/>
  <c r="H51" i="7" s="1"/>
  <c r="G75" i="7"/>
  <c r="G76" i="7" s="1"/>
  <c r="G77" i="7" s="1"/>
  <c r="F73" i="7" l="1"/>
  <c r="H72" i="7"/>
  <c r="H52" i="7"/>
  <c r="H90" i="7"/>
  <c r="H92" i="7" s="1"/>
  <c r="G92" i="7"/>
  <c r="E75" i="7"/>
  <c r="E76" i="7" s="1"/>
  <c r="E77" i="7" s="1"/>
  <c r="F75" i="7"/>
  <c r="F76" i="7" s="1"/>
  <c r="F77" i="7" s="1"/>
  <c r="D54" i="7"/>
  <c r="H54" i="7" l="1"/>
  <c r="H57" i="7" s="1"/>
  <c r="H58" i="7" s="1"/>
  <c r="H66" i="7" s="1"/>
  <c r="D57" i="7"/>
  <c r="D58" i="7" s="1"/>
  <c r="D66" i="7" s="1"/>
  <c r="D70" i="7" s="1"/>
  <c r="H70" i="7" l="1"/>
  <c r="H73" i="7" s="1"/>
  <c r="D73" i="7"/>
  <c r="F28" i="4"/>
  <c r="D75" i="7" l="1"/>
  <c r="D76" i="7" s="1"/>
  <c r="D77" i="7" s="1"/>
  <c r="H75" i="7"/>
  <c r="H76" i="7" s="1"/>
  <c r="H77" i="7" s="1"/>
  <c r="F80" i="7" s="1"/>
  <c r="F84" i="7" s="1"/>
  <c r="F31" i="4"/>
  <c r="H31" i="4" s="1"/>
  <c r="F25" i="4"/>
  <c r="G67" i="4"/>
  <c r="F67" i="4"/>
  <c r="E67" i="4"/>
  <c r="D67" i="4"/>
  <c r="H66" i="4"/>
  <c r="H65" i="4"/>
  <c r="H64" i="4"/>
  <c r="H63" i="4"/>
  <c r="H62" i="4"/>
  <c r="G59" i="4"/>
  <c r="F59" i="4"/>
  <c r="H58" i="4"/>
  <c r="H57" i="4"/>
  <c r="G53" i="4"/>
  <c r="F53" i="4"/>
  <c r="G49" i="4"/>
  <c r="F49" i="4"/>
  <c r="E49" i="4"/>
  <c r="D49" i="4"/>
  <c r="H48" i="4"/>
  <c r="H47" i="4"/>
  <c r="H46" i="4"/>
  <c r="G44" i="4"/>
  <c r="F44" i="4"/>
  <c r="E44" i="4"/>
  <c r="D44" i="4"/>
  <c r="H43" i="4"/>
  <c r="H42" i="4"/>
  <c r="H41" i="4"/>
  <c r="G39" i="4"/>
  <c r="E39" i="4"/>
  <c r="D39" i="4"/>
  <c r="H38" i="4"/>
  <c r="H37" i="4"/>
  <c r="H36" i="4"/>
  <c r="H35" i="4"/>
  <c r="H28" i="4"/>
  <c r="H27" i="4"/>
  <c r="G25" i="4"/>
  <c r="E25" i="4"/>
  <c r="D25" i="4"/>
  <c r="H16" i="4"/>
  <c r="H25" i="4" s="1"/>
  <c r="G14" i="4"/>
  <c r="H13" i="4"/>
  <c r="H12" i="4"/>
  <c r="H11" i="4"/>
  <c r="G50" i="4" l="1"/>
  <c r="G54" i="4" s="1"/>
  <c r="G60" i="4" s="1"/>
  <c r="G68" i="4" s="1"/>
  <c r="G73" i="4" s="1"/>
  <c r="H73" i="4" s="1"/>
  <c r="D50" i="4"/>
  <c r="G84" i="7"/>
  <c r="F86" i="7"/>
  <c r="F103" i="7" s="1"/>
  <c r="E50" i="4"/>
  <c r="E52" i="4" s="1"/>
  <c r="E53" i="4" s="1"/>
  <c r="E54" i="4" s="1"/>
  <c r="H67" i="4"/>
  <c r="H39" i="4"/>
  <c r="H44" i="4"/>
  <c r="H49" i="4"/>
  <c r="F50" i="4"/>
  <c r="F54" i="4" s="1"/>
  <c r="F60" i="4" s="1"/>
  <c r="F68" i="4" s="1"/>
  <c r="F74" i="4" s="1"/>
  <c r="F75" i="4" s="1"/>
  <c r="D52" i="4"/>
  <c r="H14" i="4"/>
  <c r="G75" i="4" l="1"/>
  <c r="G77" i="4" s="1"/>
  <c r="G78" i="4" s="1"/>
  <c r="G79" i="4" s="1"/>
  <c r="H84" i="7"/>
  <c r="H86" i="7" s="1"/>
  <c r="H103" i="7" s="1"/>
  <c r="G86" i="7"/>
  <c r="G103" i="7" s="1"/>
  <c r="H50" i="4"/>
  <c r="H74" i="4"/>
  <c r="F77" i="4"/>
  <c r="F78" i="4" s="1"/>
  <c r="F79" i="4" s="1"/>
  <c r="D53" i="4"/>
  <c r="D54" i="4" s="1"/>
  <c r="H52" i="4"/>
  <c r="H53" i="4" s="1"/>
  <c r="E56" i="4"/>
  <c r="E59" i="4" s="1"/>
  <c r="E60" i="4" s="1"/>
  <c r="E68" i="4" s="1"/>
  <c r="E72" i="4" s="1"/>
  <c r="E75" i="4" s="1"/>
  <c r="H54" i="4" l="1"/>
  <c r="E77" i="4"/>
  <c r="E78" i="4" s="1"/>
  <c r="E79" i="4" s="1"/>
  <c r="D56" i="4"/>
  <c r="H56" i="4" l="1"/>
  <c r="H59" i="4" s="1"/>
  <c r="H60" i="4" s="1"/>
  <c r="H68" i="4" s="1"/>
  <c r="D59" i="4"/>
  <c r="D60" i="4" s="1"/>
  <c r="D68" i="4" s="1"/>
  <c r="D72" i="4" s="1"/>
  <c r="H72" i="4" l="1"/>
  <c r="H75" i="4" s="1"/>
  <c r="D75" i="4"/>
  <c r="D77" i="4" l="1"/>
  <c r="D78" i="4" s="1"/>
  <c r="D79" i="4" s="1"/>
  <c r="H77" i="4"/>
  <c r="H78" i="4" s="1"/>
  <c r="H79" i="4" s="1"/>
  <c r="F82" i="4" s="1"/>
  <c r="F86" i="4" s="1"/>
  <c r="G86" i="4" s="1"/>
  <c r="H86" i="4" s="1"/>
  <c r="H88" i="4" s="1"/>
  <c r="H116" i="7" l="1"/>
</calcChain>
</file>

<file path=xl/sharedStrings.xml><?xml version="1.0" encoding="utf-8"?>
<sst xmlns="http://schemas.openxmlformats.org/spreadsheetml/2006/main" count="459" uniqueCount="185">
  <si>
    <t>Сводный сметный расчет стоимости строительства.</t>
  </si>
  <si>
    <t xml:space="preserve">                                 Административное здание ОАО «ДРСК» в 34 квартале г. Благовещенска.</t>
  </si>
  <si>
    <t>Сметная стоимость , тыс. руб.</t>
  </si>
  <si>
    <t>Строительных работ</t>
  </si>
  <si>
    <t>Монтажных работ</t>
  </si>
  <si>
    <t>Оборудование, мебель, инвентарь</t>
  </si>
  <si>
    <t>Прочих затрат</t>
  </si>
  <si>
    <t>Всего</t>
  </si>
  <si>
    <t>Глава I. Подготовка территории строительства.</t>
  </si>
  <si>
    <t>Затраты по отводу земельного участка  (1479.34/8.11)</t>
  </si>
  <si>
    <t>Затраты по освобождению территории строительства (3186.99/8.11)</t>
  </si>
  <si>
    <t>Затраты, связанные с компенсацией за сносимые строения (43539.12/8.11)</t>
  </si>
  <si>
    <t>Итого по гл. I</t>
  </si>
  <si>
    <t>Глава II. Основные объекты строительства.</t>
  </si>
  <si>
    <t>Административное здание</t>
  </si>
  <si>
    <t>Итого по гл. II</t>
  </si>
  <si>
    <t>Глава IV. Объекты энергетического хозяйства.</t>
  </si>
  <si>
    <t>ДЭС</t>
  </si>
  <si>
    <t>Электроснабжение 10кв.</t>
  </si>
  <si>
    <t>Электроснабжение 0.38кв</t>
  </si>
  <si>
    <t>Наружное электроосвещение</t>
  </si>
  <si>
    <t>Доп.смета к смете №04-05-01</t>
  </si>
  <si>
    <t>Итого по гл. IV</t>
  </si>
  <si>
    <t>Глава VI. Наружные сети.</t>
  </si>
  <si>
    <t>Теплотрасса</t>
  </si>
  <si>
    <t>Наружный водопровод</t>
  </si>
  <si>
    <t>Наружная канализация</t>
  </si>
  <si>
    <t>Итого по гл. VI</t>
  </si>
  <si>
    <t>Глава VII. Благоустройство территории, озеленение.</t>
  </si>
  <si>
    <t xml:space="preserve">Благоустройство </t>
  </si>
  <si>
    <t xml:space="preserve">Озеленение </t>
  </si>
  <si>
    <t xml:space="preserve">Вертикальная планировка </t>
  </si>
  <si>
    <t>Итого по гл. I  VII</t>
  </si>
  <si>
    <t>Глава VIII. Временные здания и сооружения.</t>
  </si>
  <si>
    <t>ГСН81-05-01-2001 п.4.8</t>
  </si>
  <si>
    <t>Временные здания и сооружения, 1,8%</t>
  </si>
  <si>
    <t>Итого по гл. VIII</t>
  </si>
  <si>
    <t>Итого по гл. I - VIII</t>
  </si>
  <si>
    <t xml:space="preserve">Глава IX. Прочие работы и затраты. </t>
  </si>
  <si>
    <t>ГСН81-05-02-2001 п.11.4</t>
  </si>
  <si>
    <t>Затраты при производстве работ в зимнее время 4*0.9=3.6%</t>
  </si>
  <si>
    <t>МДС 81.35-2004</t>
  </si>
  <si>
    <t>МДС 81-11.2000</t>
  </si>
  <si>
    <t>Затраты на проведение подрядных торгов -0.3%</t>
  </si>
  <si>
    <t>Итого по гл. IХ</t>
  </si>
  <si>
    <t>Итого по гл. I – IX</t>
  </si>
  <si>
    <t>Договор №25/В-025-2008-513 от 15.05.2008</t>
  </si>
  <si>
    <t xml:space="preserve">Средства на проектные работы </t>
  </si>
  <si>
    <t>Инженерно-геологические изыскания</t>
  </si>
  <si>
    <t>Инженерно-экологические изыскания</t>
  </si>
  <si>
    <t>Постановление Правительства Р.Ф. №145 от 05.03.07г</t>
  </si>
  <si>
    <t>Экспертиза проектно- сметной документации  8.77%</t>
  </si>
  <si>
    <t>МДС81-35.2004</t>
  </si>
  <si>
    <t>Средства на авторский надзор 0.2%</t>
  </si>
  <si>
    <t>Итого по гл. ХII</t>
  </si>
  <si>
    <t>Непредвиденные работы и затраты.</t>
  </si>
  <si>
    <t>МДС81.35-2004</t>
  </si>
  <si>
    <t>Итого непредвиденные</t>
  </si>
  <si>
    <t>№№ п/п</t>
  </si>
  <si>
    <t>Наименование глав, объектов, работ и затрат</t>
  </si>
  <si>
    <t>ОС №02-01</t>
  </si>
  <si>
    <t>ЛСР №04-01-01</t>
  </si>
  <si>
    <t>ЛСР №04-02-01</t>
  </si>
  <si>
    <t>ЛСР №04-03-01</t>
  </si>
  <si>
    <t>ЛСР №04-04-01</t>
  </si>
  <si>
    <t>ЛСР №04-05-01</t>
  </si>
  <si>
    <t>ЛСР №04-06-01</t>
  </si>
  <si>
    <t>ЛСР №04-07-01</t>
  </si>
  <si>
    <t>1,55</t>
  </si>
  <si>
    <t>ЛСР №06-01-01</t>
  </si>
  <si>
    <t>ЛСР №06-02-01</t>
  </si>
  <si>
    <t>ЛСР №06-03-01</t>
  </si>
  <si>
    <t>ЛСР №07-01-01</t>
  </si>
  <si>
    <t>ЛСР №07-02-01</t>
  </si>
  <si>
    <t>ЛСР №07-05-01</t>
  </si>
  <si>
    <t>1173,49</t>
  </si>
  <si>
    <t>Итого по гл.VII</t>
  </si>
  <si>
    <t>Средства на покрытие затрат строительных организаций на добровольное страхование 1%</t>
  </si>
  <si>
    <t>Резерв средств на непредвиденные работы и затраты  1%</t>
  </si>
  <si>
    <t>перевод в цены 4кв.2013г.</t>
  </si>
  <si>
    <t>письмо Минрегиона от 12.11.2013г №21331-СД/10</t>
  </si>
  <si>
    <t>приложение №4</t>
  </si>
  <si>
    <t>прочие работы и затраты - 7,74</t>
  </si>
  <si>
    <t>приложение №5</t>
  </si>
  <si>
    <t>оборудование - 3,94</t>
  </si>
  <si>
    <t>приложение №1</t>
  </si>
  <si>
    <t>строительно-монтажные работы - 6,32</t>
  </si>
  <si>
    <t>ИТОГО</t>
  </si>
  <si>
    <t>от 16.05.2013</t>
  </si>
  <si>
    <t>дефлятор на 2014г  - 1,058 (14/13)</t>
  </si>
  <si>
    <t>дефлятор на 2015г  - 1,062 (15/14)</t>
  </si>
  <si>
    <t>дефлятор на 2017г - 1,039 (17/16)</t>
  </si>
  <si>
    <t>дефлятор на 2016г - 1,065 (16/15)</t>
  </si>
  <si>
    <t>от 01.10.08</t>
  </si>
  <si>
    <t>Глава Х11. Проектно-изыскательские работы</t>
  </si>
  <si>
    <r>
      <t>Электроснабжение стройплощадки 0.38кв -</t>
    </r>
    <r>
      <rPr>
        <b/>
        <sz val="11"/>
        <color theme="1"/>
        <rFont val="Times New Roman"/>
        <family val="1"/>
        <charset val="204"/>
      </rPr>
      <t>за счет затрат на временные здания и сооружения</t>
    </r>
  </si>
  <si>
    <r>
      <t xml:space="preserve">Электроснабжение стройплощадки 10кв </t>
    </r>
    <r>
      <rPr>
        <b/>
        <sz val="11"/>
        <color theme="1"/>
        <rFont val="Times New Roman"/>
        <family val="1"/>
        <charset val="204"/>
      </rPr>
      <t>-за счет затрат на временные здания и сооружения</t>
    </r>
  </si>
  <si>
    <t>дизельная электростанция</t>
  </si>
  <si>
    <t>КРУ с вакуумным выключателем</t>
  </si>
  <si>
    <t>ячейка линейная 10кВ КСО-ЗСЭЩ</t>
  </si>
  <si>
    <t>Расчет стоимости объекта с учетом дефляторов</t>
  </si>
  <si>
    <t>распределение по годам цена без НДС</t>
  </si>
  <si>
    <t>стоимость с учетом дефляторов без НДС</t>
  </si>
  <si>
    <t>стоимость с учетом НДС и дефляторов по годам</t>
  </si>
  <si>
    <t>ЛСР № 02-01-19, №02-01-19А</t>
  </si>
  <si>
    <t>ЛСР № 02-01-20</t>
  </si>
  <si>
    <t xml:space="preserve">камера 8DJH </t>
  </si>
  <si>
    <t>трансформатор мощностью 1000кВА - 2к-т</t>
  </si>
  <si>
    <t>щиток тепловой защиты трансформатора - 2к-т</t>
  </si>
  <si>
    <t>шкаф распределительный состоящий из 7 камер</t>
  </si>
  <si>
    <t>изоляторы</t>
  </si>
  <si>
    <t>годы строительства и поставки оборудования</t>
  </si>
  <si>
    <t>Составлен(а) в ценах  по состоянию на 01.01.2001г, переведена в цены 4кв.2013г и учтены дефляторы</t>
  </si>
  <si>
    <t>ВСЕГО стоимость административного здания</t>
  </si>
  <si>
    <t>1. комплекс инженерных систем центра обработки данных</t>
  </si>
  <si>
    <t>2. система охранного теленаблюдения</t>
  </si>
  <si>
    <t>3. система контроля и управления доступом</t>
  </si>
  <si>
    <t xml:space="preserve">Всего по стройке </t>
  </si>
  <si>
    <t>Затраты на инженерные системы</t>
  </si>
  <si>
    <t>Кроме того :</t>
  </si>
  <si>
    <t>1.1 авторский надзор ЗАО "ИНСИСТЕМС"</t>
  </si>
  <si>
    <t>Стоимость авторского надзора ОАО "Амургражданпроект"</t>
  </si>
  <si>
    <t>Выполненные работы</t>
  </si>
  <si>
    <t>ВСЕГО с учетом выполненных работ</t>
  </si>
  <si>
    <t>1. проектные работы ОАО "Амургражданпроект"</t>
  </si>
  <si>
    <t>2. проектные работы ЗАО "ИНСИСТЕМС"</t>
  </si>
  <si>
    <t>4. госэкспертиза</t>
  </si>
  <si>
    <t>Д. №25/В-025-2008-513 от 15.05.2008г</t>
  </si>
  <si>
    <t>Д. №594/4342РБ от 14.10.2011; Д. №135 от 01.03.2012г</t>
  </si>
  <si>
    <t xml:space="preserve">3.  Глава 1. Подготовительные работы. </t>
  </si>
  <si>
    <t>Письмо №07-01/14-4125 от 21.06.2012г</t>
  </si>
  <si>
    <t>Договор</t>
  </si>
  <si>
    <t>Расшифровка по выполнению за 2012-2013 г.г.</t>
  </si>
  <si>
    <t>ВСЕГО  для подрядной организации</t>
  </si>
  <si>
    <t xml:space="preserve">оборудование </t>
  </si>
  <si>
    <t>НЗС по расшифровке на 01.01.2013г</t>
  </si>
  <si>
    <t>без НДС</t>
  </si>
  <si>
    <t>с НДС</t>
  </si>
  <si>
    <t>итого</t>
  </si>
  <si>
    <t>Примечание</t>
  </si>
  <si>
    <t>оборудование технологическое, дизельная электростанция</t>
  </si>
  <si>
    <t>8. прочие</t>
  </si>
  <si>
    <t>5. земельный налог (2012-2013г.г.)</t>
  </si>
  <si>
    <t>6. комитет по управлению имуществом (2012-2013г.г.)</t>
  </si>
  <si>
    <t>7.  регистрационные сборы (2013г)</t>
  </si>
  <si>
    <t>выполнение за 2013г. на 18.12.13г с НДС</t>
  </si>
  <si>
    <r>
      <rPr>
        <b/>
        <sz val="11"/>
        <color theme="1"/>
        <rFont val="Calibri"/>
        <family val="2"/>
        <charset val="204"/>
        <scheme val="minor"/>
      </rPr>
      <t>Сметная стоимость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оборудования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поставляемого Заказчиком</t>
    </r>
    <r>
      <rPr>
        <sz val="11"/>
        <color theme="1"/>
        <rFont val="Calibri"/>
        <family val="2"/>
        <charset val="204"/>
        <scheme val="minor"/>
      </rPr>
      <t xml:space="preserve">  с учетом транспортных затрат в размере - 6% от стоимости оборудования и заготовительно-складских в размере - 1,2% от стоимости оборудования.</t>
    </r>
  </si>
  <si>
    <t xml:space="preserve">кроме того поставка оборудования Заказчиком (с транспортом и загот.-скл): </t>
  </si>
  <si>
    <t xml:space="preserve">технологическое оборудование </t>
  </si>
  <si>
    <t xml:space="preserve"> </t>
  </si>
  <si>
    <t>Итого по гл. I -  ХII ( в ценах  2001года)</t>
  </si>
  <si>
    <t>Всего по сводному сметному расчету (без поставки оборуд. Заказчиком)</t>
  </si>
  <si>
    <t xml:space="preserve">ИТОГО оборудование Заказчика </t>
  </si>
  <si>
    <t>в том числе:</t>
  </si>
  <si>
    <t>Перечень затрат на строительство:</t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</si>
  <si>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кроме того поставка оборудования Заказчиком: 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</si>
  <si>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технологическое оборудование</t>
    </r>
  </si>
  <si>
    <r>
      <rPr>
        <b/>
        <sz val="14"/>
        <color theme="1"/>
        <rFont val="Times New Roman"/>
        <family val="1"/>
        <charset val="204"/>
      </rPr>
      <t xml:space="preserve">* </t>
    </r>
    <r>
      <rPr>
        <b/>
        <sz val="11"/>
        <color theme="1"/>
        <rFont val="Times New Roman"/>
        <family val="1"/>
        <charset val="204"/>
      </rPr>
      <t>трансформатор мощностью 1000кВА - 2к-т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</si>
  <si>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камера 8DJH 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</si>
  <si>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щиток тепловой защиты трансформатора - 2к-т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</si>
  <si>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шкаф распределительный состоящий из 7 камер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</si>
  <si>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изоляторы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</si>
  <si>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>дизельная электростанция</t>
    </r>
  </si>
  <si>
    <r>
      <rPr>
        <b/>
        <sz val="14"/>
        <color theme="1"/>
        <rFont val="Times New Roman"/>
        <family val="1"/>
        <charset val="204"/>
      </rPr>
      <t xml:space="preserve">* </t>
    </r>
    <r>
      <rPr>
        <b/>
        <sz val="11"/>
        <color theme="1"/>
        <rFont val="Times New Roman"/>
        <family val="1"/>
        <charset val="204"/>
      </rPr>
      <t xml:space="preserve">кроме того поставка оборудования Заказчиком: 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</si>
  <si>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>КРУ с вакуумным выключателем</t>
    </r>
  </si>
  <si>
    <r>
      <rPr>
        <b/>
        <sz val="14"/>
        <color theme="1"/>
        <rFont val="Times New Roman"/>
        <family val="1"/>
        <charset val="204"/>
      </rPr>
      <t>*</t>
    </r>
    <r>
      <rPr>
        <b/>
        <sz val="11"/>
        <color theme="1"/>
        <rFont val="Times New Roman"/>
        <family val="1"/>
        <charset val="204"/>
      </rPr>
      <t xml:space="preserve"> ячейка линейная 10кВ КСО-ЗСЭЩ</t>
    </r>
  </si>
  <si>
    <t>* - обозначена сметная стоимость оборудования приобретения Заказчиком.</t>
  </si>
  <si>
    <t>ИТОГО для подрядной организации</t>
  </si>
  <si>
    <t>Итого по гл. I -  ХII в ценах 2001г.</t>
  </si>
  <si>
    <t>Сметная стоимость оборудования поставки Заказчиком</t>
  </si>
  <si>
    <t>Всего по сводному сметному расчету без НДС</t>
  </si>
  <si>
    <t xml:space="preserve">ИТОГО стоимость объекта для ПОДРЯДНОЙ ОРГАНИЗАЦИИ  с учетом коэффициентов-дефляторов (без стоимости оборудования поставки Заказчиком и инженерных систем) </t>
  </si>
  <si>
    <t>ИТОГО стоимость в ценах 4кв.2013г</t>
  </si>
  <si>
    <r>
      <t xml:space="preserve">Электроснабжение стройплощадки 0.38кв - </t>
    </r>
    <r>
      <rPr>
        <b/>
        <sz val="11"/>
        <color theme="1"/>
        <rFont val="Times New Roman"/>
        <family val="1"/>
        <charset val="204"/>
      </rPr>
      <t>за счет затрат на временные здания и сооружения</t>
    </r>
  </si>
  <si>
    <t>Без оборудования (мебель и пр. , ЦОД) с НДС</t>
  </si>
  <si>
    <t>дефлятор на 2018г - 1,034 (18/17)</t>
  </si>
  <si>
    <t>Итого по гл. I -  ХII ( в ценах 2кв 2012года)</t>
  </si>
  <si>
    <t>8867,22</t>
  </si>
  <si>
    <t>295,24</t>
  </si>
  <si>
    <t>148,38</t>
  </si>
  <si>
    <t>строительно-монтажные работы - (6,32/5,82=1,086)</t>
  </si>
  <si>
    <t>прочие работы и затраты - (7,74/7,21=1,073)</t>
  </si>
  <si>
    <t>оборудование - (3,94/3,66=1,076)</t>
  </si>
  <si>
    <t>Сводный  сметный расчет</t>
  </si>
  <si>
    <t xml:space="preserve"> на объект строительства:   "Административное здание ОАО «ДРСК» в 34 квартале г. Благовещенска".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</si>
</sst>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 applyAlignment="1">
      <alignment horizontal="justify" vertical="center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9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4" fontId="2" fillId="0" borderId="0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/>
    <xf numFmtId="4" fontId="4" fillId="2" borderId="1" xfId="0" applyNumberFormat="1" applyFont="1" applyFill="1" applyBorder="1"/>
    <xf numFmtId="4" fontId="0" fillId="0" borderId="1" xfId="0" applyNumberFormat="1" applyBorder="1"/>
    <xf numFmtId="0" fontId="4" fillId="0" borderId="1" xfId="0" applyFont="1" applyBorder="1" applyAlignment="1">
      <alignment horizontal="center" vertical="center"/>
    </xf>
    <xf numFmtId="164" fontId="0" fillId="0" borderId="1" xfId="0" applyNumberFormat="1" applyBorder="1"/>
    <xf numFmtId="164" fontId="0" fillId="0" borderId="0" xfId="0" applyNumberFormat="1"/>
    <xf numFmtId="164" fontId="0" fillId="2" borderId="1" xfId="0" applyNumberFormat="1" applyFill="1" applyBorder="1"/>
    <xf numFmtId="0" fontId="2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/>
    <xf numFmtId="4" fontId="1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horizontal="right"/>
    </xf>
    <xf numFmtId="4" fontId="0" fillId="0" borderId="1" xfId="0" applyNumberFormat="1" applyFont="1" applyBorder="1" applyAlignment="1"/>
    <xf numFmtId="0" fontId="4" fillId="2" borderId="1" xfId="0" applyFont="1" applyFill="1" applyBorder="1" applyAlignment="1"/>
    <xf numFmtId="0" fontId="4" fillId="2" borderId="1" xfId="0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/>
    <xf numFmtId="0" fontId="0" fillId="0" borderId="1" xfId="0" applyFont="1" applyBorder="1"/>
    <xf numFmtId="4" fontId="0" fillId="0" borderId="1" xfId="0" applyNumberFormat="1" applyFont="1" applyBorder="1"/>
    <xf numFmtId="0" fontId="0" fillId="3" borderId="1" xfId="0" applyFill="1" applyBorder="1"/>
    <xf numFmtId="0" fontId="4" fillId="0" borderId="1" xfId="0" applyFont="1" applyBorder="1"/>
    <xf numFmtId="4" fontId="4" fillId="0" borderId="1" xfId="0" applyNumberFormat="1" applyFont="1" applyBorder="1"/>
    <xf numFmtId="16" fontId="0" fillId="0" borderId="1" xfId="0" applyNumberFormat="1" applyBorder="1" applyAlignment="1">
      <alignment wrapText="1"/>
    </xf>
    <xf numFmtId="165" fontId="4" fillId="2" borderId="1" xfId="0" applyNumberFormat="1" applyFont="1" applyFill="1" applyBorder="1"/>
    <xf numFmtId="2" fontId="4" fillId="2" borderId="1" xfId="0" applyNumberFormat="1" applyFont="1" applyFill="1" applyBorder="1"/>
    <xf numFmtId="0" fontId="6" fillId="2" borderId="1" xfId="0" applyFont="1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4" fillId="0" borderId="0" xfId="0" applyFont="1" applyBorder="1"/>
    <xf numFmtId="4" fontId="4" fillId="0" borderId="0" xfId="0" applyNumberFormat="1" applyFon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3" borderId="1" xfId="0" applyFont="1" applyFill="1" applyBorder="1" applyAlignment="1">
      <alignment wrapText="1"/>
    </xf>
    <xf numFmtId="4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0" fillId="2" borderId="1" xfId="0" applyNumberFormat="1" applyFont="1" applyFill="1" applyBorder="1"/>
    <xf numFmtId="0" fontId="8" fillId="0" borderId="0" xfId="0" applyFont="1"/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 wrapText="1"/>
    </xf>
    <xf numFmtId="14" fontId="1" fillId="3" borderId="1" xfId="0" applyNumberFormat="1" applyFont="1" applyFill="1" applyBorder="1" applyAlignment="1">
      <alignment horizontal="left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center"/>
    </xf>
    <xf numFmtId="4" fontId="2" fillId="3" borderId="1" xfId="0" applyNumberFormat="1" applyFont="1" applyFill="1" applyBorder="1"/>
    <xf numFmtId="4" fontId="2" fillId="3" borderId="1" xfId="0" applyNumberFormat="1" applyFont="1" applyFill="1" applyBorder="1" applyAlignment="1">
      <alignment horizontal="center" vertical="center"/>
    </xf>
    <xf numFmtId="4" fontId="2" fillId="3" borderId="0" xfId="0" applyNumberFormat="1" applyFont="1" applyFill="1" applyBorder="1"/>
    <xf numFmtId="0" fontId="4" fillId="3" borderId="1" xfId="0" applyFont="1" applyFill="1" applyBorder="1"/>
    <xf numFmtId="0" fontId="0" fillId="4" borderId="1" xfId="0" applyFill="1" applyBorder="1"/>
    <xf numFmtId="0" fontId="4" fillId="4" borderId="1" xfId="0" applyFont="1" applyFill="1" applyBorder="1"/>
    <xf numFmtId="4" fontId="4" fillId="4" borderId="1" xfId="0" applyNumberFormat="1" applyFont="1" applyFill="1" applyBorder="1"/>
    <xf numFmtId="4" fontId="0" fillId="5" borderId="1" xfId="0" applyNumberFormat="1" applyFill="1" applyBorder="1"/>
    <xf numFmtId="164" fontId="0" fillId="5" borderId="1" xfId="0" applyNumberFormat="1" applyFill="1" applyBorder="1"/>
    <xf numFmtId="0" fontId="0" fillId="5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topLeftCell="A7" workbookViewId="0">
      <selection activeCell="F16" sqref="F16"/>
    </sheetView>
  </sheetViews>
  <sheetFormatPr defaultRowHeight="15" x14ac:dyDescent="0.25"/>
  <cols>
    <col min="1" max="1" width="6.140625" customWidth="1"/>
    <col min="2" max="2" width="15.42578125" customWidth="1"/>
    <col min="3" max="3" width="38" customWidth="1"/>
    <col min="4" max="4" width="14.28515625" customWidth="1"/>
    <col min="5" max="5" width="13" customWidth="1"/>
    <col min="6" max="6" width="14.28515625" customWidth="1"/>
    <col min="7" max="7" width="13.5703125" customWidth="1"/>
    <col min="8" max="8" width="13.7109375" customWidth="1"/>
    <col min="9" max="9" width="14.140625" customWidth="1"/>
    <col min="10" max="10" width="10" bestFit="1" customWidth="1"/>
  </cols>
  <sheetData>
    <row r="1" spans="1:9" x14ac:dyDescent="0.25">
      <c r="A1" s="117" t="s">
        <v>0</v>
      </c>
      <c r="B1" s="117"/>
      <c r="C1" s="117"/>
      <c r="D1" s="117"/>
      <c r="E1" s="117"/>
      <c r="F1" s="117"/>
      <c r="G1" s="117"/>
      <c r="H1" s="117"/>
    </row>
    <row r="2" spans="1:9" x14ac:dyDescent="0.25">
      <c r="A2" s="79"/>
      <c r="B2" s="79"/>
      <c r="C2" s="79"/>
      <c r="D2" s="79"/>
      <c r="E2" s="79"/>
      <c r="F2" s="79"/>
      <c r="G2" s="79"/>
      <c r="H2" s="79"/>
    </row>
    <row r="3" spans="1:9" x14ac:dyDescent="0.25">
      <c r="A3" s="117" t="s">
        <v>1</v>
      </c>
      <c r="B3" s="117"/>
      <c r="C3" s="117"/>
      <c r="D3" s="117"/>
      <c r="E3" s="117"/>
      <c r="F3" s="117"/>
      <c r="G3" s="117"/>
      <c r="H3" s="117"/>
    </row>
    <row r="4" spans="1:9" x14ac:dyDescent="0.25">
      <c r="A4" s="1"/>
    </row>
    <row r="5" spans="1:9" x14ac:dyDescent="0.25">
      <c r="A5" s="9" t="s">
        <v>112</v>
      </c>
    </row>
    <row r="6" spans="1:9" x14ac:dyDescent="0.25">
      <c r="A6" s="118" t="s">
        <v>58</v>
      </c>
      <c r="B6" s="118"/>
      <c r="C6" s="118" t="s">
        <v>59</v>
      </c>
      <c r="D6" s="118" t="s">
        <v>2</v>
      </c>
      <c r="E6" s="118"/>
      <c r="F6" s="118"/>
      <c r="G6" s="118"/>
      <c r="H6" s="119"/>
      <c r="I6" s="110" t="s">
        <v>169</v>
      </c>
    </row>
    <row r="7" spans="1:9" x14ac:dyDescent="0.25">
      <c r="A7" s="118"/>
      <c r="B7" s="118"/>
      <c r="C7" s="118"/>
      <c r="D7" s="118" t="s">
        <v>3</v>
      </c>
      <c r="E7" s="118" t="s">
        <v>4</v>
      </c>
      <c r="F7" s="118" t="s">
        <v>5</v>
      </c>
      <c r="G7" s="118" t="s">
        <v>6</v>
      </c>
      <c r="H7" s="119" t="s">
        <v>7</v>
      </c>
      <c r="I7" s="111"/>
    </row>
    <row r="8" spans="1:9" ht="45.75" customHeight="1" x14ac:dyDescent="0.25">
      <c r="A8" s="118"/>
      <c r="B8" s="118"/>
      <c r="C8" s="118"/>
      <c r="D8" s="118"/>
      <c r="E8" s="118"/>
      <c r="F8" s="118"/>
      <c r="G8" s="118"/>
      <c r="H8" s="119"/>
      <c r="I8" s="112"/>
    </row>
    <row r="9" spans="1:9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83">
        <v>8</v>
      </c>
      <c r="I9" s="92">
        <v>9</v>
      </c>
    </row>
    <row r="10" spans="1:9" x14ac:dyDescent="0.25">
      <c r="A10" s="114" t="s">
        <v>8</v>
      </c>
      <c r="B10" s="115"/>
      <c r="C10" s="115"/>
      <c r="D10" s="115"/>
      <c r="E10" s="115"/>
      <c r="F10" s="115"/>
      <c r="G10" s="115"/>
      <c r="H10" s="115"/>
      <c r="I10" s="93"/>
    </row>
    <row r="11" spans="1:9" ht="30" hidden="1" x14ac:dyDescent="0.25">
      <c r="A11" s="10">
        <v>1</v>
      </c>
      <c r="B11" s="10"/>
      <c r="C11" s="12" t="s">
        <v>9</v>
      </c>
      <c r="D11" s="3"/>
      <c r="E11" s="3"/>
      <c r="F11" s="3"/>
      <c r="G11" s="3"/>
      <c r="H11" s="84">
        <f>D11+E11+F11+G11</f>
        <v>0</v>
      </c>
      <c r="I11" s="93"/>
    </row>
    <row r="12" spans="1:9" ht="30" hidden="1" x14ac:dyDescent="0.25">
      <c r="A12" s="10">
        <v>2</v>
      </c>
      <c r="B12" s="10"/>
      <c r="C12" s="12" t="s">
        <v>10</v>
      </c>
      <c r="D12" s="3"/>
      <c r="E12" s="3"/>
      <c r="F12" s="3"/>
      <c r="G12" s="3"/>
      <c r="H12" s="84">
        <f t="shared" ref="H12:H14" si="0">D12+E12+F12+G12</f>
        <v>0</v>
      </c>
      <c r="I12" s="93"/>
    </row>
    <row r="13" spans="1:9" ht="30" hidden="1" x14ac:dyDescent="0.25">
      <c r="A13" s="10">
        <v>3</v>
      </c>
      <c r="B13" s="10"/>
      <c r="C13" s="12" t="s">
        <v>11</v>
      </c>
      <c r="D13" s="3"/>
      <c r="E13" s="3"/>
      <c r="F13" s="3"/>
      <c r="G13" s="3"/>
      <c r="H13" s="84">
        <f t="shared" si="0"/>
        <v>0</v>
      </c>
      <c r="I13" s="93"/>
    </row>
    <row r="14" spans="1:9" x14ac:dyDescent="0.25">
      <c r="A14" s="10"/>
      <c r="B14" s="10"/>
      <c r="C14" s="13" t="s">
        <v>12</v>
      </c>
      <c r="D14" s="2"/>
      <c r="E14" s="2"/>
      <c r="F14" s="2"/>
      <c r="G14" s="2">
        <f>G11+G12+G13</f>
        <v>0</v>
      </c>
      <c r="H14" s="84">
        <f t="shared" si="0"/>
        <v>0</v>
      </c>
      <c r="I14" s="93"/>
    </row>
    <row r="15" spans="1:9" x14ac:dyDescent="0.25">
      <c r="A15" s="114" t="s">
        <v>13</v>
      </c>
      <c r="B15" s="115"/>
      <c r="C15" s="115"/>
      <c r="D15" s="115"/>
      <c r="E15" s="115"/>
      <c r="F15" s="115"/>
      <c r="G15" s="115"/>
      <c r="H15" s="115"/>
      <c r="I15" s="93"/>
    </row>
    <row r="16" spans="1:9" x14ac:dyDescent="0.25">
      <c r="A16" s="10">
        <v>4</v>
      </c>
      <c r="B16" s="5" t="s">
        <v>60</v>
      </c>
      <c r="C16" s="12" t="s">
        <v>14</v>
      </c>
      <c r="D16" s="3">
        <v>72097.56</v>
      </c>
      <c r="E16" s="3">
        <v>5632.51</v>
      </c>
      <c r="F16" s="3">
        <f>18188.55-I18-I19-I20-I21-I22-I23</f>
        <v>3932.450669563751</v>
      </c>
      <c r="G16" s="3"/>
      <c r="H16" s="84">
        <f>D16+E16+F16+G16</f>
        <v>81662.520669563746</v>
      </c>
      <c r="I16" s="93"/>
    </row>
    <row r="17" spans="1:9" ht="33" x14ac:dyDescent="0.25">
      <c r="A17" s="23"/>
      <c r="B17" s="88"/>
      <c r="C17" s="38" t="s">
        <v>155</v>
      </c>
      <c r="D17" s="40"/>
      <c r="E17" s="40"/>
      <c r="F17" s="40"/>
      <c r="G17" s="40"/>
      <c r="H17" s="85"/>
      <c r="I17" s="93"/>
    </row>
    <row r="18" spans="1:9" ht="30" x14ac:dyDescent="0.25">
      <c r="A18" s="23"/>
      <c r="B18" s="88" t="s">
        <v>104</v>
      </c>
      <c r="C18" s="38" t="s">
        <v>156</v>
      </c>
      <c r="D18" s="40"/>
      <c r="E18" s="40"/>
      <c r="F18" s="39"/>
      <c r="G18" s="40"/>
      <c r="H18" s="85"/>
      <c r="I18" s="39">
        <f>9464.28+172.1</f>
        <v>9636.380000000001</v>
      </c>
    </row>
    <row r="19" spans="1:9" ht="33" x14ac:dyDescent="0.25">
      <c r="A19" s="23"/>
      <c r="B19" s="88" t="s">
        <v>105</v>
      </c>
      <c r="C19" s="38" t="s">
        <v>157</v>
      </c>
      <c r="D19" s="39"/>
      <c r="E19" s="39"/>
      <c r="F19" s="39"/>
      <c r="G19" s="40"/>
      <c r="H19" s="85"/>
      <c r="I19" s="39">
        <f>1925.924/3.09*1.06*1.012</f>
        <v>668.60103342394837</v>
      </c>
    </row>
    <row r="20" spans="1:9" ht="30" x14ac:dyDescent="0.25">
      <c r="A20" s="23"/>
      <c r="B20" s="88" t="s">
        <v>105</v>
      </c>
      <c r="C20" s="38" t="s">
        <v>158</v>
      </c>
      <c r="D20" s="39"/>
      <c r="E20" s="39"/>
      <c r="F20" s="39"/>
      <c r="G20" s="40"/>
      <c r="H20" s="85"/>
      <c r="I20" s="39">
        <f>5430.6/3.09*1.06*1.012</f>
        <v>1885.2793631067966</v>
      </c>
    </row>
    <row r="21" spans="1:9" ht="33" x14ac:dyDescent="0.25">
      <c r="A21" s="23"/>
      <c r="B21" s="88" t="s">
        <v>105</v>
      </c>
      <c r="C21" s="38" t="s">
        <v>159</v>
      </c>
      <c r="D21" s="39"/>
      <c r="E21" s="39"/>
      <c r="F21" s="39"/>
      <c r="G21" s="40"/>
      <c r="H21" s="85"/>
      <c r="I21" s="39">
        <f>58.185/3.09*1.06*1.012</f>
        <v>20.199421747572821</v>
      </c>
    </row>
    <row r="22" spans="1:9" ht="33" x14ac:dyDescent="0.25">
      <c r="A22" s="23"/>
      <c r="B22" s="88" t="s">
        <v>105</v>
      </c>
      <c r="C22" s="38" t="s">
        <v>160</v>
      </c>
      <c r="D22" s="39"/>
      <c r="E22" s="39"/>
      <c r="F22" s="39"/>
      <c r="G22" s="40"/>
      <c r="H22" s="85"/>
      <c r="I22" s="39">
        <f>5786.7069/3.09*1.06*1.012</f>
        <v>2008.90492743301</v>
      </c>
    </row>
    <row r="23" spans="1:9" ht="30" x14ac:dyDescent="0.25">
      <c r="A23" s="23"/>
      <c r="B23" s="88" t="s">
        <v>105</v>
      </c>
      <c r="C23" s="38" t="s">
        <v>161</v>
      </c>
      <c r="D23" s="39"/>
      <c r="E23" s="39"/>
      <c r="F23" s="39"/>
      <c r="G23" s="40"/>
      <c r="H23" s="85"/>
      <c r="I23" s="39">
        <f>(101.617+3.264+0.934)/3.09*1.06*1.012</f>
        <v>36.734584724919095</v>
      </c>
    </row>
    <row r="24" spans="1:9" x14ac:dyDescent="0.25">
      <c r="A24" s="23"/>
      <c r="B24" s="5"/>
      <c r="C24" s="38"/>
      <c r="D24" s="39"/>
      <c r="E24" s="39"/>
      <c r="F24" s="39"/>
      <c r="G24" s="40"/>
      <c r="H24" s="85"/>
      <c r="I24" s="93"/>
    </row>
    <row r="25" spans="1:9" x14ac:dyDescent="0.25">
      <c r="A25" s="10"/>
      <c r="B25" s="5"/>
      <c r="C25" s="13" t="s">
        <v>15</v>
      </c>
      <c r="D25" s="2">
        <f>D16</f>
        <v>72097.56</v>
      </c>
      <c r="E25" s="2">
        <f t="shared" ref="E25:H25" si="1">E16</f>
        <v>5632.51</v>
      </c>
      <c r="F25" s="2">
        <f t="shared" si="1"/>
        <v>3932.450669563751</v>
      </c>
      <c r="G25" s="2">
        <f t="shared" si="1"/>
        <v>0</v>
      </c>
      <c r="H25" s="86">
        <f t="shared" si="1"/>
        <v>81662.520669563746</v>
      </c>
      <c r="I25" s="93">
        <f>SUM(I16:I24)</f>
        <v>14256.099330436249</v>
      </c>
    </row>
    <row r="26" spans="1:9" x14ac:dyDescent="0.25">
      <c r="A26" s="114" t="s">
        <v>16</v>
      </c>
      <c r="B26" s="115"/>
      <c r="C26" s="115"/>
      <c r="D26" s="115"/>
      <c r="E26" s="115"/>
      <c r="F26" s="115"/>
      <c r="G26" s="115"/>
      <c r="H26" s="115"/>
      <c r="I26" s="93"/>
    </row>
    <row r="27" spans="1:9" ht="45.75" customHeight="1" x14ac:dyDescent="0.25">
      <c r="A27" s="10">
        <v>5</v>
      </c>
      <c r="B27" s="6" t="s">
        <v>61</v>
      </c>
      <c r="C27" s="15" t="s">
        <v>173</v>
      </c>
      <c r="D27" s="3"/>
      <c r="E27" s="3"/>
      <c r="F27" s="3"/>
      <c r="G27" s="21"/>
      <c r="H27" s="84">
        <f>D27+E27+F27+G27</f>
        <v>0</v>
      </c>
      <c r="I27" s="93"/>
    </row>
    <row r="28" spans="1:9" x14ac:dyDescent="0.25">
      <c r="A28" s="10">
        <v>6</v>
      </c>
      <c r="B28" s="6" t="s">
        <v>62</v>
      </c>
      <c r="C28" s="12" t="s">
        <v>17</v>
      </c>
      <c r="D28" s="3">
        <v>18.55</v>
      </c>
      <c r="E28" s="3">
        <v>6.71</v>
      </c>
      <c r="F28" s="3">
        <f>1070.46-997.889*1.06*1.012</f>
        <v>4.5119200001408899E-3</v>
      </c>
      <c r="G28" s="21"/>
      <c r="H28" s="84">
        <f t="shared" ref="H28:H38" si="2">D28+E28+F28+G28</f>
        <v>25.264511920000142</v>
      </c>
      <c r="I28" s="93"/>
    </row>
    <row r="29" spans="1:9" ht="33" x14ac:dyDescent="0.25">
      <c r="A29" s="14"/>
      <c r="B29" s="89"/>
      <c r="C29" s="38" t="s">
        <v>155</v>
      </c>
      <c r="D29" s="40"/>
      <c r="E29" s="40"/>
      <c r="F29" s="40"/>
      <c r="G29" s="90"/>
      <c r="H29" s="85"/>
      <c r="I29" s="93"/>
    </row>
    <row r="30" spans="1:9" ht="18.75" x14ac:dyDescent="0.25">
      <c r="A30" s="14"/>
      <c r="B30" s="89"/>
      <c r="C30" s="38" t="s">
        <v>162</v>
      </c>
      <c r="D30" s="39"/>
      <c r="E30" s="39"/>
      <c r="F30" s="39"/>
      <c r="G30" s="90"/>
      <c r="H30" s="85"/>
      <c r="I30" s="39">
        <f>997.889*1.06*1.012</f>
        <v>1070.4554880799999</v>
      </c>
    </row>
    <row r="31" spans="1:9" x14ac:dyDescent="0.25">
      <c r="A31" s="10">
        <v>7</v>
      </c>
      <c r="B31" s="89" t="s">
        <v>63</v>
      </c>
      <c r="C31" s="91" t="s">
        <v>18</v>
      </c>
      <c r="D31" s="40">
        <v>49.62</v>
      </c>
      <c r="E31" s="40">
        <v>1282.94</v>
      </c>
      <c r="F31" s="40">
        <f>278.05-F33-F34</f>
        <v>278.05</v>
      </c>
      <c r="G31" s="90"/>
      <c r="H31" s="85">
        <f t="shared" si="2"/>
        <v>1610.61</v>
      </c>
      <c r="I31" s="93"/>
    </row>
    <row r="32" spans="1:9" ht="33" x14ac:dyDescent="0.25">
      <c r="A32" s="14"/>
      <c r="B32" s="89"/>
      <c r="C32" s="38" t="s">
        <v>163</v>
      </c>
      <c r="D32" s="40"/>
      <c r="E32" s="40"/>
      <c r="F32" s="40"/>
      <c r="G32" s="90"/>
      <c r="H32" s="85"/>
      <c r="I32" s="93"/>
    </row>
    <row r="33" spans="1:9" ht="18.75" x14ac:dyDescent="0.25">
      <c r="A33" s="14"/>
      <c r="B33" s="89"/>
      <c r="C33" s="38" t="s">
        <v>164</v>
      </c>
      <c r="D33" s="39"/>
      <c r="E33" s="39"/>
      <c r="F33" s="39"/>
      <c r="G33" s="90"/>
      <c r="H33" s="85"/>
      <c r="I33" s="39">
        <f>205.461*1.06*1.012</f>
        <v>220.40212392000004</v>
      </c>
    </row>
    <row r="34" spans="1:9" ht="33" x14ac:dyDescent="0.25">
      <c r="A34" s="14"/>
      <c r="B34" s="89"/>
      <c r="C34" s="38" t="s">
        <v>165</v>
      </c>
      <c r="D34" s="39"/>
      <c r="E34" s="39"/>
      <c r="F34" s="39"/>
      <c r="G34" s="90"/>
      <c r="H34" s="85"/>
      <c r="I34" s="39">
        <f>53.736*1.06*1.012</f>
        <v>57.643681920000006</v>
      </c>
    </row>
    <row r="35" spans="1:9" x14ac:dyDescent="0.25">
      <c r="A35" s="10">
        <v>8</v>
      </c>
      <c r="B35" s="6" t="s">
        <v>64</v>
      </c>
      <c r="C35" s="12" t="s">
        <v>19</v>
      </c>
      <c r="D35" s="3">
        <v>7.3</v>
      </c>
      <c r="E35" s="3">
        <v>156.61000000000001</v>
      </c>
      <c r="F35" s="3"/>
      <c r="G35" s="21"/>
      <c r="H35" s="84">
        <f t="shared" si="2"/>
        <v>163.91000000000003</v>
      </c>
      <c r="I35" s="93"/>
    </row>
    <row r="36" spans="1:9" x14ac:dyDescent="0.25">
      <c r="A36" s="10">
        <v>9</v>
      </c>
      <c r="B36" s="6" t="s">
        <v>65</v>
      </c>
      <c r="C36" s="12" t="s">
        <v>20</v>
      </c>
      <c r="D36" s="3">
        <v>25.11</v>
      </c>
      <c r="E36" s="3">
        <v>107.32</v>
      </c>
      <c r="F36" s="3">
        <v>0.44</v>
      </c>
      <c r="G36" s="21"/>
      <c r="H36" s="84">
        <f t="shared" si="2"/>
        <v>132.87</v>
      </c>
      <c r="I36" s="93"/>
    </row>
    <row r="37" spans="1:9" x14ac:dyDescent="0.25">
      <c r="A37" s="10">
        <v>10</v>
      </c>
      <c r="B37" s="6" t="s">
        <v>66</v>
      </c>
      <c r="C37" s="12" t="s">
        <v>21</v>
      </c>
      <c r="D37" s="3"/>
      <c r="E37" s="3">
        <v>3.27</v>
      </c>
      <c r="F37" s="3"/>
      <c r="G37" s="21"/>
      <c r="H37" s="84">
        <f t="shared" si="2"/>
        <v>3.27</v>
      </c>
      <c r="I37" s="93"/>
    </row>
    <row r="38" spans="1:9" ht="43.5" x14ac:dyDescent="0.25">
      <c r="A38" s="10">
        <v>11</v>
      </c>
      <c r="B38" s="6" t="s">
        <v>67</v>
      </c>
      <c r="C38" s="12" t="s">
        <v>96</v>
      </c>
      <c r="D38" s="3"/>
      <c r="E38" s="3"/>
      <c r="F38" s="3"/>
      <c r="G38" s="21"/>
      <c r="H38" s="84">
        <f t="shared" si="2"/>
        <v>0</v>
      </c>
      <c r="I38" s="93"/>
    </row>
    <row r="39" spans="1:9" x14ac:dyDescent="0.25">
      <c r="A39" s="10"/>
      <c r="B39" s="12"/>
      <c r="C39" s="13" t="s">
        <v>22</v>
      </c>
      <c r="D39" s="2">
        <f>D27+D28+D31+D35+D36+D37+D38</f>
        <v>100.58</v>
      </c>
      <c r="E39" s="2">
        <f t="shared" ref="E39:H39" si="3">E27+E28+E31+E35+E36+E37+E38</f>
        <v>1556.8500000000001</v>
      </c>
      <c r="F39" s="22">
        <v>0.44</v>
      </c>
      <c r="G39" s="2">
        <f t="shared" si="3"/>
        <v>0</v>
      </c>
      <c r="H39" s="86">
        <f t="shared" si="3"/>
        <v>1935.92451192</v>
      </c>
      <c r="I39" s="93"/>
    </row>
    <row r="40" spans="1:9" x14ac:dyDescent="0.25">
      <c r="A40" s="114" t="s">
        <v>23</v>
      </c>
      <c r="B40" s="115"/>
      <c r="C40" s="115"/>
      <c r="D40" s="115"/>
      <c r="E40" s="115"/>
      <c r="F40" s="115"/>
      <c r="G40" s="115"/>
      <c r="H40" s="115"/>
      <c r="I40" s="93"/>
    </row>
    <row r="41" spans="1:9" x14ac:dyDescent="0.25">
      <c r="A41" s="10">
        <v>12</v>
      </c>
      <c r="B41" s="6" t="s">
        <v>69</v>
      </c>
      <c r="C41" s="12" t="s">
        <v>24</v>
      </c>
      <c r="D41" s="3">
        <v>1247.26</v>
      </c>
      <c r="E41" s="3"/>
      <c r="F41" s="3"/>
      <c r="G41" s="3"/>
      <c r="H41" s="84">
        <f>D41+E41+F41+G41</f>
        <v>1247.26</v>
      </c>
      <c r="I41" s="93"/>
    </row>
    <row r="42" spans="1:9" x14ac:dyDescent="0.25">
      <c r="A42" s="10">
        <v>13</v>
      </c>
      <c r="B42" s="6" t="s">
        <v>70</v>
      </c>
      <c r="C42" s="12" t="s">
        <v>25</v>
      </c>
      <c r="D42" s="3">
        <v>130.24</v>
      </c>
      <c r="E42" s="3"/>
      <c r="F42" s="3"/>
      <c r="G42" s="3"/>
      <c r="H42" s="84">
        <f t="shared" ref="H42:H44" si="4">D42+E42+F42+G42</f>
        <v>130.24</v>
      </c>
      <c r="I42" s="93"/>
    </row>
    <row r="43" spans="1:9" x14ac:dyDescent="0.25">
      <c r="A43" s="10">
        <v>14</v>
      </c>
      <c r="B43" s="6" t="s">
        <v>71</v>
      </c>
      <c r="C43" s="12" t="s">
        <v>26</v>
      </c>
      <c r="D43" s="3">
        <v>110.77</v>
      </c>
      <c r="E43" s="3" t="s">
        <v>68</v>
      </c>
      <c r="F43" s="3"/>
      <c r="G43" s="3"/>
      <c r="H43" s="84">
        <f t="shared" si="4"/>
        <v>112.32</v>
      </c>
      <c r="I43" s="93"/>
    </row>
    <row r="44" spans="1:9" x14ac:dyDescent="0.25">
      <c r="A44" s="10"/>
      <c r="B44" s="12"/>
      <c r="C44" s="13" t="s">
        <v>27</v>
      </c>
      <c r="D44" s="2">
        <f>D41+D42+D43</f>
        <v>1488.27</v>
      </c>
      <c r="E44" s="2">
        <f t="shared" ref="E44:G44" si="5">E41+E42+E43</f>
        <v>1.55</v>
      </c>
      <c r="F44" s="2">
        <f t="shared" si="5"/>
        <v>0</v>
      </c>
      <c r="G44" s="2">
        <f t="shared" si="5"/>
        <v>0</v>
      </c>
      <c r="H44" s="84">
        <f t="shared" si="4"/>
        <v>1489.82</v>
      </c>
      <c r="I44" s="93"/>
    </row>
    <row r="45" spans="1:9" x14ac:dyDescent="0.25">
      <c r="A45" s="114" t="s">
        <v>28</v>
      </c>
      <c r="B45" s="115"/>
      <c r="C45" s="115"/>
      <c r="D45" s="115"/>
      <c r="E45" s="115"/>
      <c r="F45" s="115"/>
      <c r="G45" s="115"/>
      <c r="H45" s="115"/>
      <c r="I45" s="93"/>
    </row>
    <row r="46" spans="1:9" x14ac:dyDescent="0.25">
      <c r="A46" s="10">
        <v>15</v>
      </c>
      <c r="B46" s="6" t="s">
        <v>72</v>
      </c>
      <c r="C46" s="12" t="s">
        <v>29</v>
      </c>
      <c r="D46" s="7" t="s">
        <v>75</v>
      </c>
      <c r="E46" s="10"/>
      <c r="F46" s="10"/>
      <c r="G46" s="10"/>
      <c r="H46" s="87">
        <f>D46+E46+F46+G46</f>
        <v>1173.49</v>
      </c>
      <c r="I46" s="93"/>
    </row>
    <row r="47" spans="1:9" x14ac:dyDescent="0.25">
      <c r="A47" s="10">
        <v>16</v>
      </c>
      <c r="B47" s="6" t="s">
        <v>73</v>
      </c>
      <c r="C47" s="12" t="s">
        <v>30</v>
      </c>
      <c r="D47" s="7">
        <v>28.12</v>
      </c>
      <c r="E47" s="10"/>
      <c r="F47" s="10"/>
      <c r="G47" s="10"/>
      <c r="H47" s="87">
        <f t="shared" ref="H47:H48" si="6">D47+E47+F47+G47</f>
        <v>28.12</v>
      </c>
      <c r="I47" s="93"/>
    </row>
    <row r="48" spans="1:9" x14ac:dyDescent="0.25">
      <c r="A48" s="10">
        <v>17</v>
      </c>
      <c r="B48" s="6" t="s">
        <v>74</v>
      </c>
      <c r="C48" s="12" t="s">
        <v>31</v>
      </c>
      <c r="D48" s="7">
        <v>28.78</v>
      </c>
      <c r="E48" s="10"/>
      <c r="F48" s="10"/>
      <c r="G48" s="10"/>
      <c r="H48" s="87">
        <f t="shared" si="6"/>
        <v>28.78</v>
      </c>
      <c r="I48" s="93"/>
    </row>
    <row r="49" spans="1:10" x14ac:dyDescent="0.25">
      <c r="A49" s="10"/>
      <c r="B49" s="12"/>
      <c r="C49" s="13" t="s">
        <v>76</v>
      </c>
      <c r="D49" s="2">
        <f>D46+D47+D48</f>
        <v>1230.3899999999999</v>
      </c>
      <c r="E49" s="2">
        <f t="shared" ref="E49:H49" si="7">E46+E47+E48</f>
        <v>0</v>
      </c>
      <c r="F49" s="2">
        <f t="shared" si="7"/>
        <v>0</v>
      </c>
      <c r="G49" s="2">
        <f t="shared" si="7"/>
        <v>0</v>
      </c>
      <c r="H49" s="86">
        <f t="shared" si="7"/>
        <v>1230.3899999999999</v>
      </c>
      <c r="I49" s="93"/>
    </row>
    <row r="50" spans="1:10" x14ac:dyDescent="0.25">
      <c r="A50" s="11"/>
      <c r="B50" s="13"/>
      <c r="C50" s="13" t="s">
        <v>32</v>
      </c>
      <c r="D50" s="2">
        <f>D14+D25+D39+D44+D49</f>
        <v>74916.800000000003</v>
      </c>
      <c r="E50" s="2">
        <f t="shared" ref="E50:H50" si="8">E14+E25+E39+E44+E49</f>
        <v>7190.9100000000008</v>
      </c>
      <c r="F50" s="2">
        <f t="shared" si="8"/>
        <v>3932.8906695637511</v>
      </c>
      <c r="G50" s="2">
        <f t="shared" si="8"/>
        <v>0</v>
      </c>
      <c r="H50" s="86">
        <f t="shared" si="8"/>
        <v>86318.655181483758</v>
      </c>
      <c r="I50" s="93">
        <f>I34+I33+I30+I25</f>
        <v>15604.60062435625</v>
      </c>
    </row>
    <row r="51" spans="1:10" x14ac:dyDescent="0.25">
      <c r="A51" s="114" t="s">
        <v>33</v>
      </c>
      <c r="B51" s="115"/>
      <c r="C51" s="115"/>
      <c r="D51" s="115"/>
      <c r="E51" s="115"/>
      <c r="F51" s="115"/>
      <c r="G51" s="115"/>
      <c r="H51" s="115"/>
      <c r="I51" s="93"/>
    </row>
    <row r="52" spans="1:10" ht="30" x14ac:dyDescent="0.25">
      <c r="A52" s="10">
        <v>18</v>
      </c>
      <c r="B52" s="12" t="s">
        <v>34</v>
      </c>
      <c r="C52" s="15" t="s">
        <v>35</v>
      </c>
      <c r="D52" s="3">
        <f>D50*0.018</f>
        <v>1348.5023999999999</v>
      </c>
      <c r="E52" s="3">
        <f>E50*0.018</f>
        <v>129.43638000000001</v>
      </c>
      <c r="F52" s="3"/>
      <c r="G52" s="3"/>
      <c r="H52" s="84">
        <f>D52+E52+F52+G52</f>
        <v>1477.93878</v>
      </c>
      <c r="I52" s="93"/>
    </row>
    <row r="53" spans="1:10" x14ac:dyDescent="0.25">
      <c r="A53" s="10"/>
      <c r="B53" s="12"/>
      <c r="C53" s="13" t="s">
        <v>36</v>
      </c>
      <c r="D53" s="2">
        <f>D52</f>
        <v>1348.5023999999999</v>
      </c>
      <c r="E53" s="2">
        <f t="shared" ref="E53:H53" si="9">E52</f>
        <v>129.43638000000001</v>
      </c>
      <c r="F53" s="2">
        <f t="shared" si="9"/>
        <v>0</v>
      </c>
      <c r="G53" s="2">
        <f t="shared" si="9"/>
        <v>0</v>
      </c>
      <c r="H53" s="86">
        <f t="shared" si="9"/>
        <v>1477.93878</v>
      </c>
      <c r="I53" s="93"/>
    </row>
    <row r="54" spans="1:10" x14ac:dyDescent="0.25">
      <c r="A54" s="10"/>
      <c r="B54" s="12"/>
      <c r="C54" s="13" t="s">
        <v>37</v>
      </c>
      <c r="D54" s="2">
        <f>D50+D53</f>
        <v>76265.3024</v>
      </c>
      <c r="E54" s="2">
        <f t="shared" ref="E54:H54" si="10">E50+E53</f>
        <v>7320.3463800000009</v>
      </c>
      <c r="F54" s="2">
        <f t="shared" si="10"/>
        <v>3932.8906695637511</v>
      </c>
      <c r="G54" s="2">
        <f t="shared" si="10"/>
        <v>0</v>
      </c>
      <c r="H54" s="86">
        <f t="shared" si="10"/>
        <v>87796.593961483755</v>
      </c>
      <c r="I54" s="93"/>
      <c r="J54" s="4"/>
    </row>
    <row r="55" spans="1:10" x14ac:dyDescent="0.25">
      <c r="A55" s="114" t="s">
        <v>38</v>
      </c>
      <c r="B55" s="115"/>
      <c r="C55" s="115"/>
      <c r="D55" s="115"/>
      <c r="E55" s="115"/>
      <c r="F55" s="115"/>
      <c r="G55" s="115"/>
      <c r="H55" s="115"/>
      <c r="I55" s="93"/>
    </row>
    <row r="56" spans="1:10" ht="30" x14ac:dyDescent="0.25">
      <c r="A56" s="10">
        <v>19</v>
      </c>
      <c r="B56" s="12" t="s">
        <v>39</v>
      </c>
      <c r="C56" s="12" t="s">
        <v>40</v>
      </c>
      <c r="D56" s="3">
        <f>D54*0.036</f>
        <v>2745.5508863999999</v>
      </c>
      <c r="E56" s="3">
        <f>E54*0.036</f>
        <v>263.53246968000002</v>
      </c>
      <c r="F56" s="3"/>
      <c r="G56" s="3"/>
      <c r="H56" s="84">
        <f>D56+E56+F56+G56</f>
        <v>3009.0833560799997</v>
      </c>
      <c r="I56" s="93"/>
    </row>
    <row r="57" spans="1:10" ht="48" customHeight="1" x14ac:dyDescent="0.25">
      <c r="A57" s="10">
        <v>20</v>
      </c>
      <c r="B57" s="12" t="s">
        <v>41</v>
      </c>
      <c r="C57" s="15" t="s">
        <v>77</v>
      </c>
      <c r="D57" s="3"/>
      <c r="E57" s="3"/>
      <c r="F57" s="3"/>
      <c r="G57" s="3"/>
      <c r="H57" s="84">
        <f t="shared" ref="H57:H58" si="11">D57+E57+F57+G57</f>
        <v>0</v>
      </c>
      <c r="I57" s="93"/>
    </row>
    <row r="58" spans="1:10" ht="33.75" customHeight="1" x14ac:dyDescent="0.25">
      <c r="A58" s="10">
        <v>21</v>
      </c>
      <c r="B58" s="12" t="s">
        <v>42</v>
      </c>
      <c r="C58" s="12" t="s">
        <v>43</v>
      </c>
      <c r="D58" s="3"/>
      <c r="E58" s="3"/>
      <c r="F58" s="3"/>
      <c r="G58" s="3"/>
      <c r="H58" s="84">
        <f t="shared" si="11"/>
        <v>0</v>
      </c>
      <c r="I58" s="93"/>
    </row>
    <row r="59" spans="1:10" x14ac:dyDescent="0.25">
      <c r="A59" s="10"/>
      <c r="B59" s="12"/>
      <c r="C59" s="13" t="s">
        <v>44</v>
      </c>
      <c r="D59" s="2">
        <f>D56+D57+D58</f>
        <v>2745.5508863999999</v>
      </c>
      <c r="E59" s="2">
        <f t="shared" ref="E59:H59" si="12">E56+E57+E58</f>
        <v>263.53246968000002</v>
      </c>
      <c r="F59" s="2">
        <f t="shared" si="12"/>
        <v>0</v>
      </c>
      <c r="G59" s="2">
        <f t="shared" si="12"/>
        <v>0</v>
      </c>
      <c r="H59" s="86">
        <f t="shared" si="12"/>
        <v>3009.0833560799997</v>
      </c>
      <c r="I59" s="93"/>
      <c r="J59" s="4"/>
    </row>
    <row r="60" spans="1:10" x14ac:dyDescent="0.25">
      <c r="A60" s="10"/>
      <c r="B60" s="12"/>
      <c r="C60" s="13" t="s">
        <v>45</v>
      </c>
      <c r="D60" s="2">
        <f>D54+D59</f>
        <v>79010.853286400001</v>
      </c>
      <c r="E60" s="2">
        <f t="shared" ref="E60:H60" si="13">E54+E59</f>
        <v>7583.8788496800007</v>
      </c>
      <c r="F60" s="2">
        <f t="shared" si="13"/>
        <v>3932.8906695637511</v>
      </c>
      <c r="G60" s="2">
        <f t="shared" si="13"/>
        <v>0</v>
      </c>
      <c r="H60" s="86">
        <f t="shared" si="13"/>
        <v>90805.67731756375</v>
      </c>
      <c r="I60" s="93"/>
    </row>
    <row r="61" spans="1:10" x14ac:dyDescent="0.25">
      <c r="A61" s="114" t="s">
        <v>94</v>
      </c>
      <c r="B61" s="115"/>
      <c r="C61" s="115"/>
      <c r="D61" s="115"/>
      <c r="E61" s="115"/>
      <c r="F61" s="115"/>
      <c r="G61" s="115"/>
      <c r="H61" s="115"/>
      <c r="I61" s="93"/>
    </row>
    <row r="62" spans="1:10" ht="33.75" x14ac:dyDescent="0.25">
      <c r="A62" s="10">
        <v>22</v>
      </c>
      <c r="B62" s="8" t="s">
        <v>46</v>
      </c>
      <c r="C62" s="15" t="s">
        <v>47</v>
      </c>
      <c r="D62" s="3"/>
      <c r="E62" s="3"/>
      <c r="F62" s="3"/>
      <c r="G62" s="3"/>
      <c r="H62" s="84">
        <f>D62+E62+F62+G62</f>
        <v>0</v>
      </c>
      <c r="I62" s="93"/>
    </row>
    <row r="63" spans="1:10" x14ac:dyDescent="0.25">
      <c r="A63" s="10">
        <v>23</v>
      </c>
      <c r="B63" s="12"/>
      <c r="C63" s="12" t="s">
        <v>48</v>
      </c>
      <c r="D63" s="3"/>
      <c r="E63" s="3"/>
      <c r="F63" s="3"/>
      <c r="G63" s="3"/>
      <c r="H63" s="84">
        <f t="shared" ref="H63:H66" si="14">D63+E63+F63+G63</f>
        <v>0</v>
      </c>
      <c r="I63" s="93"/>
    </row>
    <row r="64" spans="1:10" x14ac:dyDescent="0.25">
      <c r="A64" s="10">
        <v>24</v>
      </c>
      <c r="B64" s="12"/>
      <c r="C64" s="12" t="s">
        <v>49</v>
      </c>
      <c r="D64" s="3"/>
      <c r="E64" s="3"/>
      <c r="F64" s="3"/>
      <c r="G64" s="3"/>
      <c r="H64" s="84">
        <f t="shared" si="14"/>
        <v>0</v>
      </c>
      <c r="I64" s="93"/>
    </row>
    <row r="65" spans="1:10" ht="60" x14ac:dyDescent="0.25">
      <c r="A65" s="10">
        <v>25</v>
      </c>
      <c r="B65" s="12" t="s">
        <v>50</v>
      </c>
      <c r="C65" s="15" t="s">
        <v>51</v>
      </c>
      <c r="D65" s="3"/>
      <c r="E65" s="3"/>
      <c r="F65" s="3"/>
      <c r="G65" s="3"/>
      <c r="H65" s="84">
        <f t="shared" si="14"/>
        <v>0</v>
      </c>
      <c r="I65" s="93"/>
    </row>
    <row r="66" spans="1:10" x14ac:dyDescent="0.25">
      <c r="A66" s="10">
        <v>26</v>
      </c>
      <c r="B66" s="12" t="s">
        <v>52</v>
      </c>
      <c r="C66" s="12" t="s">
        <v>53</v>
      </c>
      <c r="D66" s="3"/>
      <c r="E66" s="3"/>
      <c r="F66" s="3"/>
      <c r="G66" s="3"/>
      <c r="H66" s="84">
        <f t="shared" si="14"/>
        <v>0</v>
      </c>
      <c r="I66" s="93"/>
    </row>
    <row r="67" spans="1:10" x14ac:dyDescent="0.25">
      <c r="A67" s="10"/>
      <c r="B67" s="12"/>
      <c r="C67" s="13" t="s">
        <v>54</v>
      </c>
      <c r="D67" s="2">
        <f>D62+D63+D64+D65+D66</f>
        <v>0</v>
      </c>
      <c r="E67" s="2">
        <f t="shared" ref="E67:H67" si="15">E62+E63+E64+E65+E66</f>
        <v>0</v>
      </c>
      <c r="F67" s="2">
        <f t="shared" si="15"/>
        <v>0</v>
      </c>
      <c r="G67" s="2">
        <f t="shared" si="15"/>
        <v>0</v>
      </c>
      <c r="H67" s="86">
        <f t="shared" si="15"/>
        <v>0</v>
      </c>
      <c r="I67" s="93"/>
    </row>
    <row r="68" spans="1:10" x14ac:dyDescent="0.25">
      <c r="A68" s="10"/>
      <c r="B68" s="12"/>
      <c r="C68" s="13" t="s">
        <v>168</v>
      </c>
      <c r="D68" s="2">
        <f>D60+D67</f>
        <v>79010.853286400001</v>
      </c>
      <c r="E68" s="2">
        <f>E60+E67</f>
        <v>7583.8788496800007</v>
      </c>
      <c r="F68" s="2">
        <f>F60+F67</f>
        <v>3932.8906695637511</v>
      </c>
      <c r="G68" s="2">
        <f>G60+G67</f>
        <v>0</v>
      </c>
      <c r="H68" s="86">
        <f>H60+H67</f>
        <v>90805.67731756375</v>
      </c>
      <c r="I68" s="94">
        <f>I50</f>
        <v>15604.60062435625</v>
      </c>
    </row>
    <row r="69" spans="1:10" x14ac:dyDescent="0.25">
      <c r="A69" s="75"/>
      <c r="B69" s="77"/>
      <c r="C69" s="76"/>
      <c r="D69" s="2"/>
      <c r="E69" s="2"/>
      <c r="F69" s="2"/>
      <c r="G69" s="2"/>
      <c r="H69" s="86"/>
      <c r="I69" s="94"/>
    </row>
    <row r="70" spans="1:10" x14ac:dyDescent="0.25">
      <c r="A70" s="10"/>
      <c r="B70" s="116" t="s">
        <v>79</v>
      </c>
      <c r="C70" s="116"/>
      <c r="D70" s="2"/>
      <c r="E70" s="2"/>
      <c r="F70" s="2"/>
      <c r="G70" s="2"/>
      <c r="H70" s="86"/>
      <c r="I70" s="94"/>
    </row>
    <row r="71" spans="1:10" x14ac:dyDescent="0.25">
      <c r="A71" s="10"/>
      <c r="B71" s="113" t="s">
        <v>80</v>
      </c>
      <c r="C71" s="113"/>
      <c r="D71" s="2"/>
      <c r="E71" s="2"/>
      <c r="F71" s="2"/>
      <c r="G71" s="2"/>
      <c r="H71" s="86"/>
      <c r="I71" s="94"/>
    </row>
    <row r="72" spans="1:10" ht="30" customHeight="1" x14ac:dyDescent="0.25">
      <c r="A72" s="10"/>
      <c r="B72" s="12" t="s">
        <v>85</v>
      </c>
      <c r="C72" s="13" t="s">
        <v>86</v>
      </c>
      <c r="D72" s="2">
        <f>D68*6.32</f>
        <v>499348.59277004801</v>
      </c>
      <c r="E72" s="2">
        <f>E68*6.32</f>
        <v>47930.114329977609</v>
      </c>
      <c r="F72" s="2"/>
      <c r="G72" s="2"/>
      <c r="H72" s="86">
        <f>D72+E72+F72+G72</f>
        <v>547278.70710002561</v>
      </c>
      <c r="I72" s="94"/>
    </row>
    <row r="73" spans="1:10" x14ac:dyDescent="0.25">
      <c r="A73" s="10"/>
      <c r="B73" s="12" t="s">
        <v>81</v>
      </c>
      <c r="C73" s="13" t="s">
        <v>82</v>
      </c>
      <c r="D73" s="2"/>
      <c r="E73" s="2"/>
      <c r="F73" s="2"/>
      <c r="G73" s="2">
        <f>G68*7.74</f>
        <v>0</v>
      </c>
      <c r="H73" s="86">
        <f t="shared" ref="H73:H74" si="16">D73+E73+F73+G73</f>
        <v>0</v>
      </c>
      <c r="I73" s="94"/>
    </row>
    <row r="74" spans="1:10" x14ac:dyDescent="0.25">
      <c r="A74" s="10"/>
      <c r="B74" s="12" t="s">
        <v>83</v>
      </c>
      <c r="C74" s="13" t="s">
        <v>84</v>
      </c>
      <c r="D74" s="2"/>
      <c r="E74" s="2"/>
      <c r="F74" s="2">
        <f>F68*3.94</f>
        <v>15495.589238081178</v>
      </c>
      <c r="G74" s="2"/>
      <c r="H74" s="86">
        <f t="shared" si="16"/>
        <v>15495.589238081178</v>
      </c>
      <c r="I74" s="94">
        <f>I68*3.94</f>
        <v>61482.12645996362</v>
      </c>
    </row>
    <row r="75" spans="1:10" ht="28.5" x14ac:dyDescent="0.25">
      <c r="A75" s="10"/>
      <c r="B75" s="12"/>
      <c r="C75" s="13" t="s">
        <v>172</v>
      </c>
      <c r="D75" s="2">
        <f>D72+D73+D74</f>
        <v>499348.59277004801</v>
      </c>
      <c r="E75" s="2">
        <f t="shared" ref="E75:H75" si="17">E72+E73+E74</f>
        <v>47930.114329977609</v>
      </c>
      <c r="F75" s="2">
        <f t="shared" si="17"/>
        <v>15495.589238081178</v>
      </c>
      <c r="G75" s="2">
        <f t="shared" si="17"/>
        <v>0</v>
      </c>
      <c r="H75" s="86">
        <f t="shared" si="17"/>
        <v>562774.29633810674</v>
      </c>
      <c r="I75" s="94">
        <f>I74</f>
        <v>61482.12645996362</v>
      </c>
      <c r="J75" s="4"/>
    </row>
    <row r="76" spans="1:10" x14ac:dyDescent="0.25">
      <c r="A76" s="114" t="s">
        <v>55</v>
      </c>
      <c r="B76" s="115"/>
      <c r="C76" s="115"/>
      <c r="D76" s="115"/>
      <c r="E76" s="115"/>
      <c r="F76" s="115"/>
      <c r="G76" s="115"/>
      <c r="H76" s="115"/>
      <c r="I76" s="93"/>
    </row>
    <row r="77" spans="1:10" ht="30" x14ac:dyDescent="0.25">
      <c r="A77" s="10">
        <v>27</v>
      </c>
      <c r="B77" s="12" t="s">
        <v>56</v>
      </c>
      <c r="C77" s="12" t="s">
        <v>78</v>
      </c>
      <c r="D77" s="3">
        <f>D75*0.01</f>
        <v>4993.4859277004798</v>
      </c>
      <c r="E77" s="3">
        <f>E75*0.01</f>
        <v>479.30114329977607</v>
      </c>
      <c r="F77" s="3">
        <f>F75*0.01</f>
        <v>154.95589238081178</v>
      </c>
      <c r="G77" s="3">
        <f>G75*0.01</f>
        <v>0</v>
      </c>
      <c r="H77" s="84">
        <f>H75*0.01</f>
        <v>5627.7429633810671</v>
      </c>
      <c r="I77" s="93"/>
    </row>
    <row r="78" spans="1:10" x14ac:dyDescent="0.25">
      <c r="A78" s="10"/>
      <c r="B78" s="12"/>
      <c r="C78" s="12" t="s">
        <v>57</v>
      </c>
      <c r="D78" s="3">
        <f>D77</f>
        <v>4993.4859277004798</v>
      </c>
      <c r="E78" s="3">
        <f t="shared" ref="E78:H78" si="18">E77</f>
        <v>479.30114329977607</v>
      </c>
      <c r="F78" s="3">
        <f t="shared" si="18"/>
        <v>154.95589238081178</v>
      </c>
      <c r="G78" s="3">
        <f t="shared" si="18"/>
        <v>0</v>
      </c>
      <c r="H78" s="84">
        <f t="shared" si="18"/>
        <v>5627.7429633810671</v>
      </c>
      <c r="I78" s="93"/>
    </row>
    <row r="79" spans="1:10" ht="29.25" x14ac:dyDescent="0.25">
      <c r="A79" s="80">
        <v>28</v>
      </c>
      <c r="B79" s="78"/>
      <c r="C79" s="16" t="s">
        <v>170</v>
      </c>
      <c r="D79" s="2">
        <f>D75+D78</f>
        <v>504342.07869774848</v>
      </c>
      <c r="E79" s="2">
        <f>E75+E78</f>
        <v>48409.415473277382</v>
      </c>
      <c r="F79" s="2">
        <f>F75+F78</f>
        <v>15650.545130461991</v>
      </c>
      <c r="G79" s="2">
        <f>G75+G78</f>
        <v>0</v>
      </c>
      <c r="H79" s="2">
        <f>H75+H78</f>
        <v>568402.03930148785</v>
      </c>
      <c r="I79" s="94">
        <f>I75</f>
        <v>61482.12645996362</v>
      </c>
    </row>
    <row r="80" spans="1:10" x14ac:dyDescent="0.25">
      <c r="A80" s="17"/>
      <c r="B80" s="18"/>
      <c r="C80" s="19"/>
      <c r="D80" s="20"/>
      <c r="E80" s="20"/>
      <c r="F80" s="20"/>
      <c r="G80" s="20"/>
      <c r="H80" s="20"/>
      <c r="I80" s="95"/>
    </row>
    <row r="81" spans="1:9" ht="60" customHeight="1" x14ac:dyDescent="0.25">
      <c r="A81" s="24"/>
      <c r="B81" s="24"/>
      <c r="C81" s="29" t="s">
        <v>100</v>
      </c>
      <c r="D81" s="24"/>
      <c r="E81" s="25" t="s">
        <v>111</v>
      </c>
      <c r="F81" s="25" t="s">
        <v>101</v>
      </c>
      <c r="G81" s="25" t="s">
        <v>102</v>
      </c>
      <c r="H81" s="25" t="s">
        <v>103</v>
      </c>
      <c r="I81" s="95"/>
    </row>
    <row r="82" spans="1:9" x14ac:dyDescent="0.25">
      <c r="A82" s="24"/>
      <c r="B82" s="24"/>
      <c r="C82" s="26" t="s">
        <v>167</v>
      </c>
      <c r="D82" s="26"/>
      <c r="E82" s="26"/>
      <c r="F82" s="27">
        <f>H79</f>
        <v>568402.03930148785</v>
      </c>
      <c r="G82" s="27"/>
      <c r="H82" s="32"/>
      <c r="I82" s="95"/>
    </row>
    <row r="83" spans="1:9" x14ac:dyDescent="0.25">
      <c r="A83" s="24"/>
      <c r="B83" s="24" t="s">
        <v>88</v>
      </c>
      <c r="C83" s="24" t="s">
        <v>89</v>
      </c>
      <c r="D83" s="24"/>
      <c r="E83" s="24">
        <v>2014</v>
      </c>
      <c r="F83" s="28">
        <v>160000</v>
      </c>
      <c r="G83" s="28">
        <f>F83*1.058</f>
        <v>169280</v>
      </c>
      <c r="H83" s="30">
        <f>G83*1.18</f>
        <v>199750.39999999999</v>
      </c>
      <c r="I83" s="95"/>
    </row>
    <row r="84" spans="1:9" x14ac:dyDescent="0.25">
      <c r="A84" s="24"/>
      <c r="B84" s="24" t="s">
        <v>88</v>
      </c>
      <c r="C84" s="24" t="s">
        <v>90</v>
      </c>
      <c r="D84" s="24"/>
      <c r="E84" s="24">
        <v>2015</v>
      </c>
      <c r="F84" s="28">
        <v>180000</v>
      </c>
      <c r="G84" s="28">
        <f>F84*1.058*1.062</f>
        <v>202247.28</v>
      </c>
      <c r="H84" s="30">
        <f t="shared" ref="H84:H86" si="19">G84*1.18</f>
        <v>238651.7904</v>
      </c>
      <c r="I84" s="95"/>
    </row>
    <row r="85" spans="1:9" x14ac:dyDescent="0.25">
      <c r="A85" s="24"/>
      <c r="B85" s="24" t="s">
        <v>88</v>
      </c>
      <c r="C85" s="24" t="s">
        <v>92</v>
      </c>
      <c r="D85" s="24"/>
      <c r="E85" s="24">
        <v>2016</v>
      </c>
      <c r="F85" s="28">
        <f>180000</f>
        <v>180000</v>
      </c>
      <c r="G85" s="28">
        <f>F85*1.058*1.062*1.065</f>
        <v>215393.35319999998</v>
      </c>
      <c r="H85" s="30">
        <f t="shared" si="19"/>
        <v>254164.15677599996</v>
      </c>
      <c r="I85" s="95"/>
    </row>
    <row r="86" spans="1:9" x14ac:dyDescent="0.25">
      <c r="A86" s="24"/>
      <c r="B86" s="24" t="s">
        <v>93</v>
      </c>
      <c r="C86" s="24" t="s">
        <v>91</v>
      </c>
      <c r="D86" s="24"/>
      <c r="E86" s="24">
        <v>2017</v>
      </c>
      <c r="F86" s="28">
        <f>F82-F83-F84-F85</f>
        <v>48402.03930148785</v>
      </c>
      <c r="G86" s="28">
        <f>F86*1.058*1.062*1.065*1.039</f>
        <v>60178.173173296738</v>
      </c>
      <c r="H86" s="30">
        <f t="shared" si="19"/>
        <v>71010.244344490144</v>
      </c>
      <c r="I86" s="95"/>
    </row>
    <row r="87" spans="1:9" x14ac:dyDescent="0.25">
      <c r="A87" s="24"/>
      <c r="B87" s="24"/>
      <c r="C87" s="24"/>
      <c r="D87" s="24"/>
      <c r="E87" s="24"/>
      <c r="F87" s="24"/>
      <c r="G87" s="28"/>
      <c r="H87" s="30"/>
      <c r="I87" s="95"/>
    </row>
    <row r="88" spans="1:9" ht="75" x14ac:dyDescent="0.25">
      <c r="A88" s="24">
        <v>29</v>
      </c>
      <c r="B88" s="24"/>
      <c r="C88" s="46" t="s">
        <v>171</v>
      </c>
      <c r="D88" s="26"/>
      <c r="E88" s="26"/>
      <c r="F88" s="81"/>
      <c r="G88" s="81"/>
      <c r="H88" s="36">
        <f>SUM(H83:H87)</f>
        <v>763576.59152049001</v>
      </c>
      <c r="I88" s="95"/>
    </row>
    <row r="89" spans="1:9" x14ac:dyDescent="0.25">
      <c r="H89" s="31"/>
    </row>
    <row r="90" spans="1:9" ht="21" x14ac:dyDescent="0.35">
      <c r="B90" s="82" t="s">
        <v>139</v>
      </c>
      <c r="C90" s="109" t="s">
        <v>166</v>
      </c>
      <c r="D90" s="109"/>
      <c r="E90" s="109"/>
      <c r="F90" s="109"/>
      <c r="G90" s="109"/>
      <c r="H90" s="109"/>
    </row>
  </sheetData>
  <mergeCells count="24">
    <mergeCell ref="A1:H1"/>
    <mergeCell ref="A3:H3"/>
    <mergeCell ref="A6:A8"/>
    <mergeCell ref="B6:B8"/>
    <mergeCell ref="C6:C8"/>
    <mergeCell ref="D6:H6"/>
    <mergeCell ref="D7:D8"/>
    <mergeCell ref="E7:E8"/>
    <mergeCell ref="F7:F8"/>
    <mergeCell ref="G7:G8"/>
    <mergeCell ref="H7:H8"/>
    <mergeCell ref="C90:H90"/>
    <mergeCell ref="I6:I8"/>
    <mergeCell ref="B71:C71"/>
    <mergeCell ref="A76:H76"/>
    <mergeCell ref="A45:H45"/>
    <mergeCell ref="A51:H51"/>
    <mergeCell ref="A55:H55"/>
    <mergeCell ref="A61:H61"/>
    <mergeCell ref="B70:C70"/>
    <mergeCell ref="A40:H40"/>
    <mergeCell ref="A10:H10"/>
    <mergeCell ref="A15:H15"/>
    <mergeCell ref="A26:H2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topLeftCell="A109" workbookViewId="0">
      <selection activeCell="O110" sqref="O110"/>
    </sheetView>
  </sheetViews>
  <sheetFormatPr defaultRowHeight="15" x14ac:dyDescent="0.25"/>
  <cols>
    <col min="1" max="1" width="6.140625" customWidth="1"/>
    <col min="2" max="2" width="18.7109375" customWidth="1"/>
    <col min="3" max="3" width="45.85546875" customWidth="1"/>
    <col min="4" max="4" width="15" customWidth="1"/>
    <col min="5" max="5" width="13.85546875" customWidth="1"/>
    <col min="6" max="6" width="15.28515625" customWidth="1"/>
    <col min="7" max="7" width="13.5703125" customWidth="1"/>
    <col min="8" max="8" width="13.7109375" customWidth="1"/>
    <col min="10" max="10" width="10" bestFit="1" customWidth="1"/>
  </cols>
  <sheetData>
    <row r="1" spans="1:11" x14ac:dyDescent="0.25">
      <c r="A1" s="117" t="s">
        <v>154</v>
      </c>
      <c r="B1" s="117"/>
      <c r="C1" s="117"/>
      <c r="D1" s="117"/>
      <c r="E1" s="117"/>
      <c r="F1" s="117"/>
      <c r="G1" s="117"/>
      <c r="H1" s="117"/>
    </row>
    <row r="2" spans="1:11" x14ac:dyDescent="0.25">
      <c r="A2" s="117" t="s">
        <v>1</v>
      </c>
      <c r="B2" s="117"/>
      <c r="C2" s="117"/>
      <c r="D2" s="117"/>
      <c r="E2" s="117"/>
      <c r="F2" s="117"/>
      <c r="G2" s="117"/>
      <c r="H2" s="117"/>
    </row>
    <row r="3" spans="1:11" x14ac:dyDescent="0.25">
      <c r="A3" s="1"/>
    </row>
    <row r="4" spans="1:11" x14ac:dyDescent="0.25">
      <c r="A4" s="118" t="s">
        <v>58</v>
      </c>
      <c r="B4" s="118"/>
      <c r="C4" s="118" t="s">
        <v>59</v>
      </c>
      <c r="D4" s="118" t="s">
        <v>2</v>
      </c>
      <c r="E4" s="118"/>
      <c r="F4" s="118"/>
      <c r="G4" s="118"/>
      <c r="H4" s="118"/>
    </row>
    <row r="5" spans="1:11" x14ac:dyDescent="0.25">
      <c r="A5" s="118"/>
      <c r="B5" s="118"/>
      <c r="C5" s="118"/>
      <c r="D5" s="118" t="s">
        <v>3</v>
      </c>
      <c r="E5" s="118" t="s">
        <v>4</v>
      </c>
      <c r="F5" s="118" t="s">
        <v>5</v>
      </c>
      <c r="G5" s="118" t="s">
        <v>6</v>
      </c>
      <c r="H5" s="118" t="s">
        <v>7</v>
      </c>
    </row>
    <row r="6" spans="1:11" x14ac:dyDescent="0.25">
      <c r="A6" s="118"/>
      <c r="B6" s="118"/>
      <c r="C6" s="118"/>
      <c r="D6" s="118"/>
      <c r="E6" s="118"/>
      <c r="F6" s="118"/>
      <c r="G6" s="118"/>
      <c r="H6" s="118"/>
    </row>
    <row r="7" spans="1:11" x14ac:dyDescent="0.25">
      <c r="A7" s="43">
        <v>1</v>
      </c>
      <c r="B7" s="43">
        <v>2</v>
      </c>
      <c r="C7" s="43">
        <v>3</v>
      </c>
      <c r="D7" s="43">
        <v>4</v>
      </c>
      <c r="E7" s="43">
        <v>5</v>
      </c>
      <c r="F7" s="43">
        <v>6</v>
      </c>
      <c r="G7" s="43">
        <v>7</v>
      </c>
      <c r="H7" s="43">
        <v>8</v>
      </c>
    </row>
    <row r="8" spans="1:11" x14ac:dyDescent="0.25">
      <c r="A8" s="114" t="s">
        <v>8</v>
      </c>
      <c r="B8" s="115"/>
      <c r="C8" s="115"/>
      <c r="D8" s="115"/>
      <c r="E8" s="115"/>
      <c r="F8" s="115"/>
      <c r="G8" s="115"/>
      <c r="H8" s="120"/>
    </row>
    <row r="9" spans="1:11" ht="30" x14ac:dyDescent="0.25">
      <c r="A9" s="43">
        <v>1</v>
      </c>
      <c r="B9" s="43"/>
      <c r="C9" s="42" t="s">
        <v>9</v>
      </c>
      <c r="D9" s="3"/>
      <c r="E9" s="3"/>
      <c r="F9" s="3"/>
      <c r="G9" s="3"/>
      <c r="H9" s="3">
        <f>D9+E9+F9+G9</f>
        <v>0</v>
      </c>
    </row>
    <row r="10" spans="1:11" ht="30" x14ac:dyDescent="0.25">
      <c r="A10" s="43">
        <v>2</v>
      </c>
      <c r="B10" s="43"/>
      <c r="C10" s="42" t="s">
        <v>10</v>
      </c>
      <c r="D10" s="3"/>
      <c r="E10" s="3"/>
      <c r="F10" s="3"/>
      <c r="G10" s="3"/>
      <c r="H10" s="3">
        <f t="shared" ref="H10:H12" si="0">D10+E10+F10+G10</f>
        <v>0</v>
      </c>
    </row>
    <row r="11" spans="1:11" ht="30" x14ac:dyDescent="0.25">
      <c r="A11" s="43">
        <v>3</v>
      </c>
      <c r="B11" s="43"/>
      <c r="C11" s="42" t="s">
        <v>11</v>
      </c>
      <c r="D11" s="3"/>
      <c r="E11" s="3"/>
      <c r="F11" s="3"/>
      <c r="G11" s="3"/>
      <c r="H11" s="3">
        <f t="shared" si="0"/>
        <v>0</v>
      </c>
    </row>
    <row r="12" spans="1:11" x14ac:dyDescent="0.25">
      <c r="A12" s="43"/>
      <c r="B12" s="43"/>
      <c r="C12" s="41" t="s">
        <v>12</v>
      </c>
      <c r="D12" s="2"/>
      <c r="E12" s="2"/>
      <c r="F12" s="2"/>
      <c r="G12" s="2">
        <f>G9+G10+G11</f>
        <v>0</v>
      </c>
      <c r="H12" s="3">
        <f t="shared" si="0"/>
        <v>0</v>
      </c>
    </row>
    <row r="13" spans="1:11" x14ac:dyDescent="0.25">
      <c r="A13" s="114" t="s">
        <v>13</v>
      </c>
      <c r="B13" s="115"/>
      <c r="C13" s="115"/>
      <c r="D13" s="115"/>
      <c r="E13" s="115"/>
      <c r="F13" s="115"/>
      <c r="G13" s="115"/>
      <c r="H13" s="120"/>
    </row>
    <row r="14" spans="1:11" x14ac:dyDescent="0.25">
      <c r="A14" s="43">
        <v>4</v>
      </c>
      <c r="B14" s="5" t="s">
        <v>60</v>
      </c>
      <c r="C14" s="42" t="s">
        <v>14</v>
      </c>
      <c r="D14" s="3">
        <v>72097.56</v>
      </c>
      <c r="E14" s="3">
        <v>5632.51</v>
      </c>
      <c r="F14" s="3">
        <f>18188.55-F16-F17-F18-F19-F20-F21</f>
        <v>3932.450669563751</v>
      </c>
      <c r="G14" s="3"/>
      <c r="H14" s="3">
        <f>D14+E14+F14+G14</f>
        <v>81662.520669563746</v>
      </c>
    </row>
    <row r="15" spans="1:11" ht="28.5" x14ac:dyDescent="0.25">
      <c r="A15" s="43"/>
      <c r="B15" s="5"/>
      <c r="C15" s="33" t="s">
        <v>147</v>
      </c>
      <c r="D15" s="3"/>
      <c r="E15" s="3"/>
      <c r="F15" s="3"/>
      <c r="G15" s="3"/>
      <c r="H15" s="3"/>
      <c r="K15" t="s">
        <v>149</v>
      </c>
    </row>
    <row r="16" spans="1:11" ht="30" x14ac:dyDescent="0.25">
      <c r="A16" s="43"/>
      <c r="B16" s="5" t="s">
        <v>104</v>
      </c>
      <c r="C16" s="33" t="s">
        <v>148</v>
      </c>
      <c r="D16" s="35"/>
      <c r="E16" s="35"/>
      <c r="F16" s="34">
        <f>9464.28+172.1</f>
        <v>9636.380000000001</v>
      </c>
      <c r="G16" s="35"/>
      <c r="H16" s="35"/>
    </row>
    <row r="17" spans="1:8" x14ac:dyDescent="0.25">
      <c r="A17" s="43"/>
      <c r="B17" s="5" t="s">
        <v>105</v>
      </c>
      <c r="C17" s="33" t="s">
        <v>107</v>
      </c>
      <c r="D17" s="34"/>
      <c r="E17" s="34"/>
      <c r="F17" s="34">
        <f>(1925.924/3.09)*1.06*1.012</f>
        <v>668.60103342394837</v>
      </c>
      <c r="G17" s="35"/>
      <c r="H17" s="35"/>
    </row>
    <row r="18" spans="1:8" x14ac:dyDescent="0.25">
      <c r="A18" s="43"/>
      <c r="B18" s="5" t="s">
        <v>105</v>
      </c>
      <c r="C18" s="33" t="s">
        <v>106</v>
      </c>
      <c r="D18" s="34"/>
      <c r="E18" s="34"/>
      <c r="F18" s="34">
        <f>(5430.6/3.09)*1.06*1.012</f>
        <v>1885.2793631067966</v>
      </c>
      <c r="G18" s="35"/>
      <c r="H18" s="35"/>
    </row>
    <row r="19" spans="1:8" ht="28.5" x14ac:dyDescent="0.25">
      <c r="A19" s="43"/>
      <c r="B19" s="5" t="s">
        <v>105</v>
      </c>
      <c r="C19" s="33" t="s">
        <v>108</v>
      </c>
      <c r="D19" s="34"/>
      <c r="E19" s="34"/>
      <c r="F19" s="34">
        <f>(58.185/3.09)*1.06*1.012</f>
        <v>20.199421747572821</v>
      </c>
      <c r="G19" s="35"/>
      <c r="H19" s="35"/>
    </row>
    <row r="20" spans="1:8" ht="28.5" x14ac:dyDescent="0.25">
      <c r="A20" s="43"/>
      <c r="B20" s="5" t="s">
        <v>105</v>
      </c>
      <c r="C20" s="33" t="s">
        <v>109</v>
      </c>
      <c r="D20" s="34"/>
      <c r="E20" s="34"/>
      <c r="F20" s="34">
        <f>(5786.7069/3.09)*1.06*1.012</f>
        <v>2008.90492743301</v>
      </c>
      <c r="G20" s="35"/>
      <c r="H20" s="35"/>
    </row>
    <row r="21" spans="1:8" x14ac:dyDescent="0.25">
      <c r="A21" s="43"/>
      <c r="B21" s="5" t="s">
        <v>105</v>
      </c>
      <c r="C21" s="33" t="s">
        <v>110</v>
      </c>
      <c r="D21" s="34"/>
      <c r="E21" s="34"/>
      <c r="F21" s="34">
        <f>((101.617+3.264+0.934)/3.09)*1.06*1.012</f>
        <v>36.734584724919095</v>
      </c>
      <c r="G21" s="35"/>
      <c r="H21" s="35"/>
    </row>
    <row r="22" spans="1:8" x14ac:dyDescent="0.25">
      <c r="A22" s="43"/>
      <c r="B22" s="5"/>
      <c r="C22" s="38"/>
      <c r="D22" s="39"/>
      <c r="E22" s="39"/>
      <c r="F22" s="39"/>
      <c r="G22" s="40"/>
      <c r="H22" s="40"/>
    </row>
    <row r="23" spans="1:8" x14ac:dyDescent="0.25">
      <c r="A23" s="43"/>
      <c r="B23" s="5"/>
      <c r="C23" s="41" t="s">
        <v>15</v>
      </c>
      <c r="D23" s="2">
        <f>D14</f>
        <v>72097.56</v>
      </c>
      <c r="E23" s="2">
        <f t="shared" ref="E23:H23" si="1">E14</f>
        <v>5632.51</v>
      </c>
      <c r="F23" s="2">
        <f t="shared" si="1"/>
        <v>3932.450669563751</v>
      </c>
      <c r="G23" s="2">
        <f t="shared" si="1"/>
        <v>0</v>
      </c>
      <c r="H23" s="2">
        <f t="shared" si="1"/>
        <v>81662.520669563746</v>
      </c>
    </row>
    <row r="24" spans="1:8" x14ac:dyDescent="0.25">
      <c r="A24" s="114" t="s">
        <v>16</v>
      </c>
      <c r="B24" s="115"/>
      <c r="C24" s="115"/>
      <c r="D24" s="115"/>
      <c r="E24" s="115"/>
      <c r="F24" s="115"/>
      <c r="G24" s="115"/>
      <c r="H24" s="120"/>
    </row>
    <row r="25" spans="1:8" ht="44.25" x14ac:dyDescent="0.25">
      <c r="A25" s="43">
        <v>5</v>
      </c>
      <c r="B25" s="6" t="s">
        <v>61</v>
      </c>
      <c r="C25" s="15" t="s">
        <v>95</v>
      </c>
      <c r="D25" s="3"/>
      <c r="E25" s="3"/>
      <c r="F25" s="3"/>
      <c r="G25" s="21"/>
      <c r="H25" s="3">
        <f>D25+E25+F25+G25</f>
        <v>0</v>
      </c>
    </row>
    <row r="26" spans="1:8" x14ac:dyDescent="0.25">
      <c r="A26" s="43">
        <v>6</v>
      </c>
      <c r="B26" s="6" t="s">
        <v>62</v>
      </c>
      <c r="C26" s="42" t="s">
        <v>17</v>
      </c>
      <c r="D26" s="3">
        <v>18.55</v>
      </c>
      <c r="E26" s="3">
        <v>6.71</v>
      </c>
      <c r="F26" s="3">
        <f>1070.46-997.889*1.06*1.012</f>
        <v>4.5119200001408899E-3</v>
      </c>
      <c r="G26" s="21"/>
      <c r="H26" s="3">
        <f t="shared" ref="H26:H36" si="2">D26+E26+F26+G26</f>
        <v>25.264511920000142</v>
      </c>
    </row>
    <row r="27" spans="1:8" ht="28.5" x14ac:dyDescent="0.25">
      <c r="A27" s="43"/>
      <c r="B27" s="6"/>
      <c r="C27" s="33" t="s">
        <v>147</v>
      </c>
      <c r="D27" s="3"/>
      <c r="E27" s="3"/>
      <c r="F27" s="3"/>
      <c r="G27" s="21"/>
      <c r="H27" s="3"/>
    </row>
    <row r="28" spans="1:8" x14ac:dyDescent="0.25">
      <c r="A28" s="43"/>
      <c r="B28" s="6"/>
      <c r="C28" s="33" t="s">
        <v>97</v>
      </c>
      <c r="D28" s="34"/>
      <c r="E28" s="34"/>
      <c r="F28" s="34">
        <f>997.889*1.06*1.012</f>
        <v>1070.4554880799999</v>
      </c>
      <c r="G28" s="37"/>
      <c r="H28" s="35"/>
    </row>
    <row r="29" spans="1:8" x14ac:dyDescent="0.25">
      <c r="A29" s="43">
        <v>7</v>
      </c>
      <c r="B29" s="6" t="s">
        <v>63</v>
      </c>
      <c r="C29" s="42" t="s">
        <v>18</v>
      </c>
      <c r="D29" s="3">
        <v>49.62</v>
      </c>
      <c r="E29" s="3">
        <v>1282.94</v>
      </c>
      <c r="F29" s="3">
        <f>278.05-F31-F32</f>
        <v>4.1941599999688606E-3</v>
      </c>
      <c r="G29" s="21"/>
      <c r="H29" s="3">
        <f t="shared" si="2"/>
        <v>1332.5641941599999</v>
      </c>
    </row>
    <row r="30" spans="1:8" ht="28.5" x14ac:dyDescent="0.25">
      <c r="A30" s="43"/>
      <c r="B30" s="6"/>
      <c r="C30" s="33" t="s">
        <v>147</v>
      </c>
      <c r="D30" s="3"/>
      <c r="E30" s="3"/>
      <c r="F30" s="3"/>
      <c r="G30" s="21"/>
      <c r="H30" s="3"/>
    </row>
    <row r="31" spans="1:8" x14ac:dyDescent="0.25">
      <c r="A31" s="43"/>
      <c r="B31" s="6"/>
      <c r="C31" s="33" t="s">
        <v>98</v>
      </c>
      <c r="D31" s="34"/>
      <c r="E31" s="34"/>
      <c r="F31" s="34">
        <f>205.461*1.06*1.012</f>
        <v>220.40212392000004</v>
      </c>
      <c r="G31" s="37"/>
      <c r="H31" s="35"/>
    </row>
    <row r="32" spans="1:8" x14ac:dyDescent="0.25">
      <c r="A32" s="43"/>
      <c r="B32" s="6"/>
      <c r="C32" s="33" t="s">
        <v>99</v>
      </c>
      <c r="D32" s="34"/>
      <c r="E32" s="34"/>
      <c r="F32" s="34">
        <f>53.736*1.06*1.012</f>
        <v>57.643681920000006</v>
      </c>
      <c r="G32" s="37"/>
      <c r="H32" s="35"/>
    </row>
    <row r="33" spans="1:8" x14ac:dyDescent="0.25">
      <c r="A33" s="43">
        <v>8</v>
      </c>
      <c r="B33" s="6" t="s">
        <v>64</v>
      </c>
      <c r="C33" s="42" t="s">
        <v>19</v>
      </c>
      <c r="D33" s="3">
        <v>7.3</v>
      </c>
      <c r="E33" s="3">
        <v>156.61000000000001</v>
      </c>
      <c r="F33" s="3"/>
      <c r="G33" s="21"/>
      <c r="H33" s="3">
        <f t="shared" si="2"/>
        <v>163.91000000000003</v>
      </c>
    </row>
    <row r="34" spans="1:8" x14ac:dyDescent="0.25">
      <c r="A34" s="43">
        <v>9</v>
      </c>
      <c r="B34" s="6" t="s">
        <v>65</v>
      </c>
      <c r="C34" s="42" t="s">
        <v>20</v>
      </c>
      <c r="D34" s="3">
        <v>25.11</v>
      </c>
      <c r="E34" s="3">
        <v>107.32</v>
      </c>
      <c r="F34" s="3">
        <v>0.44</v>
      </c>
      <c r="G34" s="21"/>
      <c r="H34" s="3">
        <f t="shared" si="2"/>
        <v>132.87</v>
      </c>
    </row>
    <row r="35" spans="1:8" x14ac:dyDescent="0.25">
      <c r="A35" s="43">
        <v>10</v>
      </c>
      <c r="B35" s="6" t="s">
        <v>66</v>
      </c>
      <c r="C35" s="42" t="s">
        <v>21</v>
      </c>
      <c r="D35" s="3"/>
      <c r="E35" s="3">
        <v>3.27</v>
      </c>
      <c r="F35" s="3"/>
      <c r="G35" s="21"/>
      <c r="H35" s="3">
        <f t="shared" si="2"/>
        <v>3.27</v>
      </c>
    </row>
    <row r="36" spans="1:8" ht="43.5" x14ac:dyDescent="0.25">
      <c r="A36" s="43">
        <v>11</v>
      </c>
      <c r="B36" s="6" t="s">
        <v>67</v>
      </c>
      <c r="C36" s="42" t="s">
        <v>96</v>
      </c>
      <c r="D36" s="3"/>
      <c r="E36" s="3"/>
      <c r="F36" s="3"/>
      <c r="G36" s="21"/>
      <c r="H36" s="3">
        <f t="shared" si="2"/>
        <v>0</v>
      </c>
    </row>
    <row r="37" spans="1:8" x14ac:dyDescent="0.25">
      <c r="A37" s="43"/>
      <c r="B37" s="42"/>
      <c r="C37" s="41" t="s">
        <v>22</v>
      </c>
      <c r="D37" s="2">
        <f>D25+D26+D29+D33+D34+D35+D36</f>
        <v>100.58</v>
      </c>
      <c r="E37" s="2">
        <f t="shared" ref="E37:H37" si="3">E25+E26+E29+E33+E34+E35+E36</f>
        <v>1556.8500000000001</v>
      </c>
      <c r="F37" s="22">
        <v>0.44</v>
      </c>
      <c r="G37" s="2">
        <f t="shared" si="3"/>
        <v>0</v>
      </c>
      <c r="H37" s="2">
        <f t="shared" si="3"/>
        <v>1657.87870608</v>
      </c>
    </row>
    <row r="38" spans="1:8" x14ac:dyDescent="0.25">
      <c r="A38" s="114" t="s">
        <v>23</v>
      </c>
      <c r="B38" s="115"/>
      <c r="C38" s="115"/>
      <c r="D38" s="115"/>
      <c r="E38" s="115"/>
      <c r="F38" s="115"/>
      <c r="G38" s="115"/>
      <c r="H38" s="120"/>
    </row>
    <row r="39" spans="1:8" x14ac:dyDescent="0.25">
      <c r="A39" s="43">
        <v>12</v>
      </c>
      <c r="B39" s="6" t="s">
        <v>69</v>
      </c>
      <c r="C39" s="42" t="s">
        <v>24</v>
      </c>
      <c r="D39" s="3">
        <v>1247.26</v>
      </c>
      <c r="E39" s="3"/>
      <c r="F39" s="3"/>
      <c r="G39" s="3"/>
      <c r="H39" s="3">
        <f>D39+E39+F39+G39</f>
        <v>1247.26</v>
      </c>
    </row>
    <row r="40" spans="1:8" x14ac:dyDescent="0.25">
      <c r="A40" s="43">
        <v>13</v>
      </c>
      <c r="B40" s="6" t="s">
        <v>70</v>
      </c>
      <c r="C40" s="42" t="s">
        <v>25</v>
      </c>
      <c r="D40" s="3">
        <v>130.24</v>
      </c>
      <c r="E40" s="3"/>
      <c r="F40" s="3"/>
      <c r="G40" s="3"/>
      <c r="H40" s="3">
        <f t="shared" ref="H40:H42" si="4">D40+E40+F40+G40</f>
        <v>130.24</v>
      </c>
    </row>
    <row r="41" spans="1:8" x14ac:dyDescent="0.25">
      <c r="A41" s="43">
        <v>14</v>
      </c>
      <c r="B41" s="6" t="s">
        <v>71</v>
      </c>
      <c r="C41" s="42" t="s">
        <v>26</v>
      </c>
      <c r="D41" s="3">
        <v>110.77</v>
      </c>
      <c r="E41" s="3" t="s">
        <v>68</v>
      </c>
      <c r="F41" s="3"/>
      <c r="G41" s="3"/>
      <c r="H41" s="3">
        <f t="shared" si="4"/>
        <v>112.32</v>
      </c>
    </row>
    <row r="42" spans="1:8" x14ac:dyDescent="0.25">
      <c r="A42" s="43"/>
      <c r="B42" s="42"/>
      <c r="C42" s="41" t="s">
        <v>27</v>
      </c>
      <c r="D42" s="2">
        <f>D39+D40+D41</f>
        <v>1488.27</v>
      </c>
      <c r="E42" s="2">
        <f t="shared" ref="E42:G42" si="5">E39+E40+E41</f>
        <v>1.55</v>
      </c>
      <c r="F42" s="2">
        <f t="shared" si="5"/>
        <v>0</v>
      </c>
      <c r="G42" s="2">
        <f t="shared" si="5"/>
        <v>0</v>
      </c>
      <c r="H42" s="3">
        <f t="shared" si="4"/>
        <v>1489.82</v>
      </c>
    </row>
    <row r="43" spans="1:8" x14ac:dyDescent="0.25">
      <c r="A43" s="114" t="s">
        <v>28</v>
      </c>
      <c r="B43" s="115"/>
      <c r="C43" s="115"/>
      <c r="D43" s="115"/>
      <c r="E43" s="115"/>
      <c r="F43" s="115"/>
      <c r="G43" s="115"/>
      <c r="H43" s="120"/>
    </row>
    <row r="44" spans="1:8" x14ac:dyDescent="0.25">
      <c r="A44" s="43">
        <v>15</v>
      </c>
      <c r="B44" s="6" t="s">
        <v>72</v>
      </c>
      <c r="C44" s="42" t="s">
        <v>29</v>
      </c>
      <c r="D44" s="7" t="s">
        <v>75</v>
      </c>
      <c r="E44" s="43"/>
      <c r="F44" s="43"/>
      <c r="G44" s="43"/>
      <c r="H44" s="7">
        <f>D44+E44+F44+G44</f>
        <v>1173.49</v>
      </c>
    </row>
    <row r="45" spans="1:8" x14ac:dyDescent="0.25">
      <c r="A45" s="43">
        <v>16</v>
      </c>
      <c r="B45" s="6" t="s">
        <v>73</v>
      </c>
      <c r="C45" s="42" t="s">
        <v>30</v>
      </c>
      <c r="D45" s="7">
        <v>28.12</v>
      </c>
      <c r="E45" s="43"/>
      <c r="F45" s="43"/>
      <c r="G45" s="43"/>
      <c r="H45" s="7">
        <f t="shared" ref="H45:H46" si="6">D45+E45+F45+G45</f>
        <v>28.12</v>
      </c>
    </row>
    <row r="46" spans="1:8" x14ac:dyDescent="0.25">
      <c r="A46" s="43">
        <v>17</v>
      </c>
      <c r="B46" s="6" t="s">
        <v>74</v>
      </c>
      <c r="C46" s="42" t="s">
        <v>31</v>
      </c>
      <c r="D46" s="7">
        <v>28.78</v>
      </c>
      <c r="E46" s="43"/>
      <c r="F46" s="43"/>
      <c r="G46" s="43"/>
      <c r="H46" s="7">
        <f t="shared" si="6"/>
        <v>28.78</v>
      </c>
    </row>
    <row r="47" spans="1:8" x14ac:dyDescent="0.25">
      <c r="A47" s="43"/>
      <c r="B47" s="42"/>
      <c r="C47" s="41" t="s">
        <v>76</v>
      </c>
      <c r="D47" s="2">
        <f>D44+D45+D46</f>
        <v>1230.3899999999999</v>
      </c>
      <c r="E47" s="2">
        <f t="shared" ref="E47:H47" si="7">E44+E45+E46</f>
        <v>0</v>
      </c>
      <c r="F47" s="2">
        <f t="shared" si="7"/>
        <v>0</v>
      </c>
      <c r="G47" s="2">
        <f t="shared" si="7"/>
        <v>0</v>
      </c>
      <c r="H47" s="2">
        <f t="shared" si="7"/>
        <v>1230.3899999999999</v>
      </c>
    </row>
    <row r="48" spans="1:8" x14ac:dyDescent="0.25">
      <c r="A48" s="11"/>
      <c r="B48" s="41"/>
      <c r="C48" s="41" t="s">
        <v>32</v>
      </c>
      <c r="D48" s="2">
        <f>D12+D23+D37+D42+D47</f>
        <v>74916.800000000003</v>
      </c>
      <c r="E48" s="2">
        <f t="shared" ref="E48:H48" si="8">E12+E23+E37+E42+E47</f>
        <v>7190.9100000000008</v>
      </c>
      <c r="F48" s="2">
        <f>F12+F23+F37+F42+F47</f>
        <v>3932.8906695637511</v>
      </c>
      <c r="G48" s="2">
        <f t="shared" si="8"/>
        <v>0</v>
      </c>
      <c r="H48" s="2">
        <f t="shared" si="8"/>
        <v>86040.609375643748</v>
      </c>
    </row>
    <row r="49" spans="1:10" x14ac:dyDescent="0.25">
      <c r="A49" s="114" t="s">
        <v>33</v>
      </c>
      <c r="B49" s="115"/>
      <c r="C49" s="115"/>
      <c r="D49" s="115"/>
      <c r="E49" s="115"/>
      <c r="F49" s="115"/>
      <c r="G49" s="115"/>
      <c r="H49" s="120"/>
    </row>
    <row r="50" spans="1:10" ht="30" x14ac:dyDescent="0.25">
      <c r="A50" s="43">
        <v>18</v>
      </c>
      <c r="B50" s="42" t="s">
        <v>34</v>
      </c>
      <c r="C50" s="15" t="s">
        <v>35</v>
      </c>
      <c r="D50" s="3">
        <f>D48*0.018</f>
        <v>1348.5023999999999</v>
      </c>
      <c r="E50" s="3">
        <f>E48*0.018</f>
        <v>129.43638000000001</v>
      </c>
      <c r="F50" s="3"/>
      <c r="G50" s="3"/>
      <c r="H50" s="3">
        <f>D50+E50+F50+G50</f>
        <v>1477.93878</v>
      </c>
    </row>
    <row r="51" spans="1:10" x14ac:dyDescent="0.25">
      <c r="A51" s="43"/>
      <c r="B51" s="42"/>
      <c r="C51" s="41" t="s">
        <v>36</v>
      </c>
      <c r="D51" s="2">
        <f>D50</f>
        <v>1348.5023999999999</v>
      </c>
      <c r="E51" s="2">
        <f t="shared" ref="E51:H51" si="9">E50</f>
        <v>129.43638000000001</v>
      </c>
      <c r="F51" s="2">
        <f t="shared" si="9"/>
        <v>0</v>
      </c>
      <c r="G51" s="2">
        <f t="shared" si="9"/>
        <v>0</v>
      </c>
      <c r="H51" s="2">
        <f t="shared" si="9"/>
        <v>1477.93878</v>
      </c>
    </row>
    <row r="52" spans="1:10" x14ac:dyDescent="0.25">
      <c r="A52" s="43"/>
      <c r="B52" s="42"/>
      <c r="C52" s="41" t="s">
        <v>37</v>
      </c>
      <c r="D52" s="2">
        <f>D48+D51</f>
        <v>76265.3024</v>
      </c>
      <c r="E52" s="2">
        <f t="shared" ref="E52:H52" si="10">E48+E51</f>
        <v>7320.3463800000009</v>
      </c>
      <c r="F52" s="2">
        <f t="shared" si="10"/>
        <v>3932.8906695637511</v>
      </c>
      <c r="G52" s="2">
        <f t="shared" si="10"/>
        <v>0</v>
      </c>
      <c r="H52" s="2">
        <f t="shared" si="10"/>
        <v>87518.548155643744</v>
      </c>
    </row>
    <row r="53" spans="1:10" x14ac:dyDescent="0.25">
      <c r="A53" s="114" t="s">
        <v>38</v>
      </c>
      <c r="B53" s="115"/>
      <c r="C53" s="115"/>
      <c r="D53" s="115"/>
      <c r="E53" s="115"/>
      <c r="F53" s="115"/>
      <c r="G53" s="115"/>
      <c r="H53" s="120"/>
    </row>
    <row r="54" spans="1:10" ht="30" x14ac:dyDescent="0.25">
      <c r="A54" s="43">
        <v>19</v>
      </c>
      <c r="B54" s="42" t="s">
        <v>39</v>
      </c>
      <c r="C54" s="42" t="s">
        <v>40</v>
      </c>
      <c r="D54" s="3">
        <f>D52*0.036</f>
        <v>2745.5508863999999</v>
      </c>
      <c r="E54" s="3">
        <f>E52*0.036</f>
        <v>263.53246968000002</v>
      </c>
      <c r="F54" s="3"/>
      <c r="G54" s="3"/>
      <c r="H54" s="3">
        <f>D54+E54+F54+G54</f>
        <v>3009.0833560799997</v>
      </c>
    </row>
    <row r="55" spans="1:10" ht="30" x14ac:dyDescent="0.25">
      <c r="A55" s="43">
        <v>20</v>
      </c>
      <c r="B55" s="42" t="s">
        <v>41</v>
      </c>
      <c r="C55" s="15" t="s">
        <v>77</v>
      </c>
      <c r="D55" s="3"/>
      <c r="E55" s="3"/>
      <c r="F55" s="3"/>
      <c r="G55" s="3"/>
      <c r="H55" s="3">
        <f t="shared" ref="H55:H56" si="11">D55+E55+F55+G55</f>
        <v>0</v>
      </c>
    </row>
    <row r="56" spans="1:10" x14ac:dyDescent="0.25">
      <c r="A56" s="43">
        <v>21</v>
      </c>
      <c r="B56" s="42" t="s">
        <v>42</v>
      </c>
      <c r="C56" s="42" t="s">
        <v>43</v>
      </c>
      <c r="D56" s="3"/>
      <c r="E56" s="3"/>
      <c r="F56" s="3"/>
      <c r="G56" s="3"/>
      <c r="H56" s="3">
        <f t="shared" si="11"/>
        <v>0</v>
      </c>
    </row>
    <row r="57" spans="1:10" x14ac:dyDescent="0.25">
      <c r="A57" s="43"/>
      <c r="B57" s="42"/>
      <c r="C57" s="41" t="s">
        <v>44</v>
      </c>
      <c r="D57" s="2">
        <f>D54+D55+D56</f>
        <v>2745.5508863999999</v>
      </c>
      <c r="E57" s="2">
        <f t="shared" ref="E57:H57" si="12">E54+E55+E56</f>
        <v>263.53246968000002</v>
      </c>
      <c r="F57" s="2">
        <f t="shared" si="12"/>
        <v>0</v>
      </c>
      <c r="G57" s="2">
        <f t="shared" si="12"/>
        <v>0</v>
      </c>
      <c r="H57" s="2">
        <f t="shared" si="12"/>
        <v>3009.0833560799997</v>
      </c>
      <c r="J57" s="4"/>
    </row>
    <row r="58" spans="1:10" x14ac:dyDescent="0.25">
      <c r="A58" s="43"/>
      <c r="B58" s="42"/>
      <c r="C58" s="41" t="s">
        <v>45</v>
      </c>
      <c r="D58" s="2">
        <f>D52+D57</f>
        <v>79010.853286400001</v>
      </c>
      <c r="E58" s="2">
        <f t="shared" ref="E58:H58" si="13">E52+E57</f>
        <v>7583.8788496800007</v>
      </c>
      <c r="F58" s="2">
        <f t="shared" si="13"/>
        <v>3932.8906695637511</v>
      </c>
      <c r="G58" s="2">
        <f t="shared" si="13"/>
        <v>0</v>
      </c>
      <c r="H58" s="2">
        <f t="shared" si="13"/>
        <v>90527.631511723739</v>
      </c>
    </row>
    <row r="59" spans="1:10" x14ac:dyDescent="0.25">
      <c r="A59" s="114" t="s">
        <v>94</v>
      </c>
      <c r="B59" s="115"/>
      <c r="C59" s="115"/>
      <c r="D59" s="115"/>
      <c r="E59" s="115"/>
      <c r="F59" s="115"/>
      <c r="G59" s="115"/>
      <c r="H59" s="120"/>
    </row>
    <row r="60" spans="1:10" ht="22.5" x14ac:dyDescent="0.25">
      <c r="A60" s="43">
        <v>22</v>
      </c>
      <c r="B60" s="8" t="s">
        <v>46</v>
      </c>
      <c r="C60" s="15" t="s">
        <v>47</v>
      </c>
      <c r="D60" s="3"/>
      <c r="E60" s="3"/>
      <c r="F60" s="3"/>
      <c r="G60" s="3"/>
      <c r="H60" s="3">
        <f>D60+E60+F60+G60</f>
        <v>0</v>
      </c>
    </row>
    <row r="61" spans="1:10" x14ac:dyDescent="0.25">
      <c r="A61" s="43">
        <v>23</v>
      </c>
      <c r="B61" s="42"/>
      <c r="C61" s="42" t="s">
        <v>48</v>
      </c>
      <c r="D61" s="3"/>
      <c r="E61" s="3"/>
      <c r="F61" s="3"/>
      <c r="G61" s="3"/>
      <c r="H61" s="3">
        <f t="shared" ref="H61:H64" si="14">D61+E61+F61+G61</f>
        <v>0</v>
      </c>
    </row>
    <row r="62" spans="1:10" x14ac:dyDescent="0.25">
      <c r="A62" s="43">
        <v>24</v>
      </c>
      <c r="B62" s="42"/>
      <c r="C62" s="42" t="s">
        <v>49</v>
      </c>
      <c r="D62" s="3"/>
      <c r="E62" s="3"/>
      <c r="F62" s="3"/>
      <c r="G62" s="3"/>
      <c r="H62" s="3">
        <f t="shared" si="14"/>
        <v>0</v>
      </c>
    </row>
    <row r="63" spans="1:10" ht="60" x14ac:dyDescent="0.25">
      <c r="A63" s="43">
        <v>25</v>
      </c>
      <c r="B63" s="42" t="s">
        <v>50</v>
      </c>
      <c r="C63" s="42" t="s">
        <v>51</v>
      </c>
      <c r="D63" s="3"/>
      <c r="E63" s="3"/>
      <c r="F63" s="3"/>
      <c r="G63" s="3"/>
      <c r="H63" s="3">
        <f t="shared" si="14"/>
        <v>0</v>
      </c>
    </row>
    <row r="64" spans="1:10" x14ac:dyDescent="0.25">
      <c r="A64" s="43">
        <v>26</v>
      </c>
      <c r="B64" s="42" t="s">
        <v>52</v>
      </c>
      <c r="C64" s="42" t="s">
        <v>53</v>
      </c>
      <c r="D64" s="3"/>
      <c r="E64" s="3"/>
      <c r="F64" s="3"/>
      <c r="G64" s="3"/>
      <c r="H64" s="3">
        <f t="shared" si="14"/>
        <v>0</v>
      </c>
    </row>
    <row r="65" spans="1:10" x14ac:dyDescent="0.25">
      <c r="A65" s="43"/>
      <c r="B65" s="42"/>
      <c r="C65" s="41" t="s">
        <v>54</v>
      </c>
      <c r="D65" s="2">
        <f>D60+D61+D62+D63+D64</f>
        <v>0</v>
      </c>
      <c r="E65" s="2">
        <f t="shared" ref="E65:H65" si="15">E60+E61+E62+E63+E64</f>
        <v>0</v>
      </c>
      <c r="F65" s="2">
        <f t="shared" si="15"/>
        <v>0</v>
      </c>
      <c r="G65" s="2">
        <f t="shared" si="15"/>
        <v>0</v>
      </c>
      <c r="H65" s="2">
        <f t="shared" si="15"/>
        <v>0</v>
      </c>
    </row>
    <row r="66" spans="1:10" x14ac:dyDescent="0.25">
      <c r="A66" s="43"/>
      <c r="B66" s="42"/>
      <c r="C66" s="41" t="s">
        <v>150</v>
      </c>
      <c r="D66" s="2">
        <f>D58+D65</f>
        <v>79010.853286400001</v>
      </c>
      <c r="E66" s="2">
        <f>E58+E65</f>
        <v>7583.8788496800007</v>
      </c>
      <c r="F66" s="2">
        <f>F58+F65</f>
        <v>3932.8906695637511</v>
      </c>
      <c r="G66" s="2">
        <f>G58+G65</f>
        <v>0</v>
      </c>
      <c r="H66" s="2">
        <f>H58+H65</f>
        <v>90527.631511723739</v>
      </c>
    </row>
    <row r="67" spans="1:10" x14ac:dyDescent="0.25">
      <c r="A67" s="75"/>
      <c r="B67" s="77"/>
      <c r="C67" s="76"/>
      <c r="D67" s="2"/>
      <c r="E67" s="2"/>
      <c r="F67" s="2"/>
      <c r="G67" s="2"/>
      <c r="H67" s="2"/>
    </row>
    <row r="68" spans="1:10" x14ac:dyDescent="0.25">
      <c r="A68" s="43"/>
      <c r="B68" s="116" t="s">
        <v>79</v>
      </c>
      <c r="C68" s="116"/>
      <c r="D68" s="2"/>
      <c r="E68" s="2"/>
      <c r="F68" s="2"/>
      <c r="G68" s="2"/>
      <c r="H68" s="2"/>
    </row>
    <row r="69" spans="1:10" x14ac:dyDescent="0.25">
      <c r="A69" s="43"/>
      <c r="B69" s="113" t="s">
        <v>80</v>
      </c>
      <c r="C69" s="113"/>
      <c r="D69" s="2"/>
      <c r="E69" s="2"/>
      <c r="F69" s="2"/>
      <c r="G69" s="2"/>
      <c r="H69" s="2"/>
    </row>
    <row r="70" spans="1:10" x14ac:dyDescent="0.25">
      <c r="A70" s="43"/>
      <c r="B70" s="42" t="s">
        <v>85</v>
      </c>
      <c r="C70" s="41" t="s">
        <v>86</v>
      </c>
      <c r="D70" s="2">
        <f>D66*6.32</f>
        <v>499348.59277004801</v>
      </c>
      <c r="E70" s="2">
        <f>E66*6.32</f>
        <v>47930.114329977609</v>
      </c>
      <c r="F70" s="2"/>
      <c r="G70" s="2"/>
      <c r="H70" s="2">
        <f>D70+E70+F70+G70</f>
        <v>547278.70710002561</v>
      </c>
    </row>
    <row r="71" spans="1:10" x14ac:dyDescent="0.25">
      <c r="A71" s="43"/>
      <c r="B71" s="42" t="s">
        <v>81</v>
      </c>
      <c r="C71" s="41" t="s">
        <v>82</v>
      </c>
      <c r="D71" s="2"/>
      <c r="E71" s="2"/>
      <c r="F71" s="2"/>
      <c r="G71" s="2">
        <f>G66*7.74</f>
        <v>0</v>
      </c>
      <c r="H71" s="2">
        <f t="shared" ref="H71:H72" si="16">D71+E71+F71+G71</f>
        <v>0</v>
      </c>
    </row>
    <row r="72" spans="1:10" x14ac:dyDescent="0.25">
      <c r="A72" s="43"/>
      <c r="B72" s="42" t="s">
        <v>83</v>
      </c>
      <c r="C72" s="41" t="s">
        <v>84</v>
      </c>
      <c r="D72" s="2"/>
      <c r="E72" s="2"/>
      <c r="F72" s="2">
        <f>F66*3.94</f>
        <v>15495.589238081178</v>
      </c>
      <c r="G72" s="2"/>
      <c r="H72" s="2">
        <f t="shared" si="16"/>
        <v>15495.589238081178</v>
      </c>
    </row>
    <row r="73" spans="1:10" x14ac:dyDescent="0.25">
      <c r="A73" s="43"/>
      <c r="B73" s="42"/>
      <c r="C73" s="41" t="s">
        <v>87</v>
      </c>
      <c r="D73" s="2">
        <f>D70+D71+D72</f>
        <v>499348.59277004801</v>
      </c>
      <c r="E73" s="2">
        <f t="shared" ref="E73:H73" si="17">E70+E71+E72</f>
        <v>47930.114329977609</v>
      </c>
      <c r="F73" s="2">
        <f>F70+F71+F72</f>
        <v>15495.589238081178</v>
      </c>
      <c r="G73" s="2">
        <f t="shared" si="17"/>
        <v>0</v>
      </c>
      <c r="H73" s="2">
        <f t="shared" si="17"/>
        <v>562774.29633810674</v>
      </c>
      <c r="J73" s="4"/>
    </row>
    <row r="74" spans="1:10" x14ac:dyDescent="0.25">
      <c r="A74" s="114" t="s">
        <v>55</v>
      </c>
      <c r="B74" s="115"/>
      <c r="C74" s="115"/>
      <c r="D74" s="115"/>
      <c r="E74" s="115"/>
      <c r="F74" s="115"/>
      <c r="G74" s="115"/>
      <c r="H74" s="120"/>
    </row>
    <row r="75" spans="1:10" ht="30" x14ac:dyDescent="0.25">
      <c r="A75" s="43">
        <v>27</v>
      </c>
      <c r="B75" s="42" t="s">
        <v>56</v>
      </c>
      <c r="C75" s="42" t="s">
        <v>78</v>
      </c>
      <c r="D75" s="3">
        <f>D73*0.01</f>
        <v>4993.4859277004798</v>
      </c>
      <c r="E75" s="3">
        <f>E73*0.01</f>
        <v>479.30114329977607</v>
      </c>
      <c r="F75" s="3">
        <f>F73*0.01</f>
        <v>154.95589238081178</v>
      </c>
      <c r="G75" s="3">
        <f>G73*0.01</f>
        <v>0</v>
      </c>
      <c r="H75" s="3">
        <f>H73*0.01</f>
        <v>5627.7429633810671</v>
      </c>
    </row>
    <row r="76" spans="1:10" x14ac:dyDescent="0.25">
      <c r="A76" s="43"/>
      <c r="B76" s="42"/>
      <c r="C76" s="42" t="s">
        <v>57</v>
      </c>
      <c r="D76" s="3">
        <f>D75</f>
        <v>4993.4859277004798</v>
      </c>
      <c r="E76" s="3">
        <f t="shared" ref="E76:H76" si="18">E75</f>
        <v>479.30114329977607</v>
      </c>
      <c r="F76" s="3">
        <f t="shared" si="18"/>
        <v>154.95589238081178</v>
      </c>
      <c r="G76" s="3">
        <f t="shared" si="18"/>
        <v>0</v>
      </c>
      <c r="H76" s="3">
        <f t="shared" si="18"/>
        <v>5627.7429633810671</v>
      </c>
    </row>
    <row r="77" spans="1:10" ht="29.25" x14ac:dyDescent="0.25">
      <c r="A77" s="43">
        <v>28</v>
      </c>
      <c r="B77" s="42"/>
      <c r="C77" s="16" t="s">
        <v>151</v>
      </c>
      <c r="D77" s="2">
        <f>D73+D76</f>
        <v>504342.07869774848</v>
      </c>
      <c r="E77" s="2">
        <f>E73+E76</f>
        <v>48409.415473277382</v>
      </c>
      <c r="F77" s="2">
        <f>F73+F76</f>
        <v>15650.545130461991</v>
      </c>
      <c r="G77" s="2">
        <f>G73+G76</f>
        <v>0</v>
      </c>
      <c r="H77" s="2">
        <f>H73+H76</f>
        <v>568402.03930148785</v>
      </c>
    </row>
    <row r="78" spans="1:10" x14ac:dyDescent="0.25">
      <c r="A78" s="17"/>
      <c r="B78" s="18"/>
      <c r="C78" s="19"/>
      <c r="D78" s="20"/>
      <c r="E78" s="20"/>
      <c r="F78" s="20"/>
      <c r="G78" s="20"/>
      <c r="H78" s="20"/>
    </row>
    <row r="79" spans="1:10" ht="60" customHeight="1" x14ac:dyDescent="0.25">
      <c r="A79" s="24"/>
      <c r="B79" s="24"/>
      <c r="C79" s="29" t="s">
        <v>100</v>
      </c>
      <c r="D79" s="24"/>
      <c r="E79" s="25" t="s">
        <v>111</v>
      </c>
      <c r="F79" s="25" t="s">
        <v>101</v>
      </c>
      <c r="G79" s="25" t="s">
        <v>102</v>
      </c>
      <c r="H79" s="25" t="s">
        <v>103</v>
      </c>
    </row>
    <row r="80" spans="1:10" x14ac:dyDescent="0.25">
      <c r="A80" s="24"/>
      <c r="B80" s="24"/>
      <c r="C80" s="26" t="s">
        <v>133</v>
      </c>
      <c r="D80" s="26"/>
      <c r="E80" s="26"/>
      <c r="F80" s="27">
        <f>H77</f>
        <v>568402.03930148785</v>
      </c>
      <c r="G80" s="27"/>
      <c r="H80" s="32"/>
    </row>
    <row r="81" spans="1:8" x14ac:dyDescent="0.25">
      <c r="A81" s="24"/>
      <c r="B81" s="24" t="s">
        <v>88</v>
      </c>
      <c r="C81" s="24" t="s">
        <v>89</v>
      </c>
      <c r="D81" s="24"/>
      <c r="E81" s="24">
        <v>2014</v>
      </c>
      <c r="F81" s="28">
        <v>160000</v>
      </c>
      <c r="G81" s="28">
        <f>F81*1.058</f>
        <v>169280</v>
      </c>
      <c r="H81" s="30">
        <f>G81*1.18</f>
        <v>199750.39999999999</v>
      </c>
    </row>
    <row r="82" spans="1:8" x14ac:dyDescent="0.25">
      <c r="A82" s="24"/>
      <c r="B82" s="24"/>
      <c r="C82" s="24" t="s">
        <v>90</v>
      </c>
      <c r="D82" s="24"/>
      <c r="E82" s="24">
        <v>2015</v>
      </c>
      <c r="F82" s="28">
        <v>180000</v>
      </c>
      <c r="G82" s="28">
        <f>F82*1.058*1.062</f>
        <v>202247.28</v>
      </c>
      <c r="H82" s="30">
        <f t="shared" ref="H82:H84" si="19">G82*1.18</f>
        <v>238651.7904</v>
      </c>
    </row>
    <row r="83" spans="1:8" x14ac:dyDescent="0.25">
      <c r="A83" s="24"/>
      <c r="B83" s="24"/>
      <c r="C83" s="24" t="s">
        <v>92</v>
      </c>
      <c r="D83" s="24"/>
      <c r="E83" s="24">
        <v>2016</v>
      </c>
      <c r="F83" s="28">
        <f>180000</f>
        <v>180000</v>
      </c>
      <c r="G83" s="28">
        <f>F83*1.058*1.062*1.065</f>
        <v>215393.35319999998</v>
      </c>
      <c r="H83" s="30">
        <f t="shared" si="19"/>
        <v>254164.15677599996</v>
      </c>
    </row>
    <row r="84" spans="1:8" x14ac:dyDescent="0.25">
      <c r="A84" s="24"/>
      <c r="B84" s="24" t="s">
        <v>93</v>
      </c>
      <c r="C84" s="24" t="s">
        <v>91</v>
      </c>
      <c r="D84" s="24"/>
      <c r="E84" s="24">
        <v>2017</v>
      </c>
      <c r="F84" s="28">
        <f>F80-F81-F82-F83</f>
        <v>48402.03930148785</v>
      </c>
      <c r="G84" s="28">
        <f>F84*1.058*1.062*1.065*1.039</f>
        <v>60178.173173296738</v>
      </c>
      <c r="H84" s="30">
        <f t="shared" si="19"/>
        <v>71010.244344490144</v>
      </c>
    </row>
    <row r="85" spans="1:8" x14ac:dyDescent="0.25">
      <c r="A85" s="24"/>
      <c r="B85" s="24"/>
      <c r="C85" s="24"/>
      <c r="D85" s="24"/>
      <c r="E85" s="24"/>
      <c r="F85" s="24"/>
      <c r="G85" s="28"/>
      <c r="H85" s="30"/>
    </row>
    <row r="86" spans="1:8" x14ac:dyDescent="0.25">
      <c r="A86" s="24">
        <v>29</v>
      </c>
      <c r="B86" s="24"/>
      <c r="C86" s="26" t="s">
        <v>113</v>
      </c>
      <c r="D86" s="26"/>
      <c r="E86" s="26"/>
      <c r="F86" s="27">
        <f>SUM(F81:F85)</f>
        <v>568402.03930148785</v>
      </c>
      <c r="G86" s="27">
        <f>SUM(G81:G85)</f>
        <v>647098.80637329677</v>
      </c>
      <c r="H86" s="36">
        <f>SUM(H81:H85)</f>
        <v>763576.59152049001</v>
      </c>
    </row>
    <row r="87" spans="1:8" x14ac:dyDescent="0.25">
      <c r="A87" s="24"/>
      <c r="B87" s="24"/>
      <c r="C87" s="24"/>
      <c r="D87" s="24"/>
      <c r="E87" s="24"/>
      <c r="F87" s="24"/>
      <c r="G87" s="24"/>
      <c r="H87" s="30"/>
    </row>
    <row r="88" spans="1:8" ht="75" customHeight="1" x14ac:dyDescent="0.25">
      <c r="A88" s="57">
        <v>30</v>
      </c>
      <c r="B88" s="57"/>
      <c r="C88" s="70" t="s">
        <v>146</v>
      </c>
      <c r="D88" s="57"/>
      <c r="E88" s="57">
        <v>2014</v>
      </c>
      <c r="F88" s="71">
        <f>(F16+F17+F18+F19+F20+F21+F28+F31+F32)*3.94</f>
        <v>61482.12645996362</v>
      </c>
      <c r="G88" s="71"/>
      <c r="H88" s="71"/>
    </row>
    <row r="89" spans="1:8" x14ac:dyDescent="0.25">
      <c r="A89" s="57"/>
      <c r="B89" s="57"/>
      <c r="C89" s="72" t="s">
        <v>153</v>
      </c>
      <c r="D89" s="57"/>
      <c r="E89" s="57"/>
      <c r="F89" s="71"/>
      <c r="G89" s="71"/>
      <c r="H89" s="71"/>
    </row>
    <row r="90" spans="1:8" x14ac:dyDescent="0.25">
      <c r="A90" s="57"/>
      <c r="B90" s="57"/>
      <c r="C90" s="72" t="s">
        <v>134</v>
      </c>
      <c r="D90" s="57"/>
      <c r="E90" s="57">
        <v>2016</v>
      </c>
      <c r="F90" s="71">
        <f>F88-F91</f>
        <v>19297.194636928427</v>
      </c>
      <c r="G90" s="71">
        <f>F90*1.058*1.062*1.065</f>
        <v>23091.597001117061</v>
      </c>
      <c r="H90" s="71">
        <f>G90*1.18</f>
        <v>27248.084461318133</v>
      </c>
    </row>
    <row r="91" spans="1:8" ht="30" x14ac:dyDescent="0.25">
      <c r="A91" s="57"/>
      <c r="B91" s="57"/>
      <c r="C91" s="72" t="s">
        <v>140</v>
      </c>
      <c r="D91" s="57"/>
      <c r="E91" s="57">
        <v>2017</v>
      </c>
      <c r="F91" s="71">
        <f>9636.38*3.94+F28*3.94</f>
        <v>42184.931823035193</v>
      </c>
      <c r="G91" s="71">
        <f>F91*1.058*1.062*1.065*1.039</f>
        <v>52448.454015289666</v>
      </c>
      <c r="H91" s="71">
        <f>G91*1.18</f>
        <v>61889.175738041806</v>
      </c>
    </row>
    <row r="92" spans="1:8" x14ac:dyDescent="0.25">
      <c r="A92" s="57">
        <v>31</v>
      </c>
      <c r="B92" s="57"/>
      <c r="C92" s="46" t="s">
        <v>152</v>
      </c>
      <c r="D92" s="44"/>
      <c r="E92" s="44"/>
      <c r="F92" s="27">
        <f>F90+F91</f>
        <v>61482.12645996362</v>
      </c>
      <c r="G92" s="27">
        <f>G90+G91</f>
        <v>75540.051016406724</v>
      </c>
      <c r="H92" s="27">
        <f>H90+H91</f>
        <v>89137.260199359938</v>
      </c>
    </row>
    <row r="93" spans="1:8" x14ac:dyDescent="0.25">
      <c r="A93" s="24"/>
      <c r="B93" s="24"/>
      <c r="C93" s="45"/>
      <c r="D93" s="24"/>
      <c r="E93" s="24"/>
      <c r="F93" s="24"/>
      <c r="G93" s="24"/>
      <c r="H93" s="24"/>
    </row>
    <row r="94" spans="1:8" ht="30" x14ac:dyDescent="0.25">
      <c r="A94" s="24"/>
      <c r="B94" s="24"/>
      <c r="C94" s="46" t="s">
        <v>121</v>
      </c>
      <c r="D94" s="44"/>
      <c r="E94" s="44"/>
      <c r="F94" s="61">
        <f>230.24*3.64</f>
        <v>838.07360000000006</v>
      </c>
      <c r="G94" s="62">
        <f>209.52*1.058+209.52*1.058*1.062+209.52*1.058*1.062*1.065+209.52*1.058*1.062*1.065*1.039</f>
        <v>968.30171683146727</v>
      </c>
      <c r="H94" s="62">
        <f>G94*1.18</f>
        <v>1142.5960258611312</v>
      </c>
    </row>
    <row r="95" spans="1:8" x14ac:dyDescent="0.25">
      <c r="A95" s="24"/>
      <c r="B95" s="24"/>
      <c r="C95" s="45"/>
      <c r="D95" s="24"/>
      <c r="E95" s="24"/>
      <c r="F95" s="24"/>
      <c r="G95" s="24"/>
      <c r="H95" s="24"/>
    </row>
    <row r="96" spans="1:8" x14ac:dyDescent="0.25">
      <c r="A96" s="74"/>
      <c r="B96" s="74" t="s">
        <v>119</v>
      </c>
      <c r="C96" s="47" t="s">
        <v>118</v>
      </c>
      <c r="D96" s="45"/>
      <c r="E96" s="45"/>
      <c r="F96" s="45"/>
      <c r="G96" s="45"/>
      <c r="H96" s="30"/>
    </row>
    <row r="97" spans="1:8" ht="30" x14ac:dyDescent="0.25">
      <c r="A97" s="24">
        <v>32</v>
      </c>
      <c r="B97" s="24"/>
      <c r="C97" s="48" t="s">
        <v>114</v>
      </c>
      <c r="D97" s="49"/>
      <c r="E97" s="50">
        <v>2017</v>
      </c>
      <c r="F97" s="51">
        <f>(39.718+2675.729)*6.32+11795.945*3.94+244.026*12.48</f>
        <v>66683.092820000005</v>
      </c>
      <c r="G97" s="51">
        <f>F97*1.058*1.062*1.065*1.039</f>
        <v>82906.975932512563</v>
      </c>
      <c r="H97" s="30">
        <f>G97*1.18</f>
        <v>97830.231600364816</v>
      </c>
    </row>
    <row r="98" spans="1:8" x14ac:dyDescent="0.25">
      <c r="A98" s="24">
        <v>33</v>
      </c>
      <c r="B98" s="24"/>
      <c r="C98" s="48" t="s">
        <v>120</v>
      </c>
      <c r="D98" s="49"/>
      <c r="E98" s="50">
        <v>2017</v>
      </c>
      <c r="F98" s="51">
        <f>29.219*3.64</f>
        <v>106.35716000000001</v>
      </c>
      <c r="G98" s="51">
        <f>F98*1.058*1.062*1.065*1.039</f>
        <v>132.233676205938</v>
      </c>
      <c r="H98" s="30">
        <f>G98*1.18</f>
        <v>156.03573792300682</v>
      </c>
    </row>
    <row r="99" spans="1:8" x14ac:dyDescent="0.25">
      <c r="A99" s="24">
        <v>34</v>
      </c>
      <c r="B99" s="24"/>
      <c r="C99" s="49" t="s">
        <v>115</v>
      </c>
      <c r="D99" s="49"/>
      <c r="E99" s="50">
        <v>2017</v>
      </c>
      <c r="F99" s="51">
        <f>(168.058*6.32+1311.225*3.94+32.746*12.48)*1.01</f>
        <v>6703.3933713999995</v>
      </c>
      <c r="G99" s="51">
        <f t="shared" ref="G99:G100" si="20">F99*1.058*1.062*1.065*1.039</f>
        <v>8334.3175819544122</v>
      </c>
      <c r="H99" s="30">
        <f t="shared" ref="H99:H100" si="21">G99*1.18</f>
        <v>9834.4947467062066</v>
      </c>
    </row>
    <row r="100" spans="1:8" x14ac:dyDescent="0.25">
      <c r="A100" s="24">
        <v>35</v>
      </c>
      <c r="B100" s="24"/>
      <c r="C100" s="49" t="s">
        <v>116</v>
      </c>
      <c r="D100" s="49"/>
      <c r="E100" s="50">
        <v>2017</v>
      </c>
      <c r="F100" s="51">
        <f>(67.837*6.32+459.8834*3.94+46.065*12.48)*1.01</f>
        <v>2843.7172523599997</v>
      </c>
      <c r="G100" s="51">
        <f t="shared" si="20"/>
        <v>3535.5888251417382</v>
      </c>
      <c r="H100" s="30">
        <f t="shared" si="21"/>
        <v>4171.994813667251</v>
      </c>
    </row>
    <row r="101" spans="1:8" x14ac:dyDescent="0.25">
      <c r="A101" s="24"/>
      <c r="B101" s="24"/>
      <c r="C101" s="52" t="s">
        <v>87</v>
      </c>
      <c r="D101" s="52"/>
      <c r="E101" s="53"/>
      <c r="F101" s="54">
        <f>F97+F99+F100</f>
        <v>76230.203443760009</v>
      </c>
      <c r="G101" s="54">
        <f t="shared" ref="G101" si="22">G97+G99+G100</f>
        <v>94776.88233960871</v>
      </c>
      <c r="H101" s="54">
        <f>H97+H98+H99+H100</f>
        <v>111992.75689866128</v>
      </c>
    </row>
    <row r="102" spans="1:8" x14ac:dyDescent="0.25">
      <c r="A102" s="24"/>
      <c r="B102" s="24"/>
      <c r="C102" s="24"/>
      <c r="D102" s="24"/>
      <c r="E102" s="24"/>
      <c r="F102" s="55"/>
      <c r="G102" s="56"/>
      <c r="H102" s="30"/>
    </row>
    <row r="103" spans="1:8" x14ac:dyDescent="0.25">
      <c r="A103" s="24"/>
      <c r="B103" s="24"/>
      <c r="C103" s="26" t="s">
        <v>117</v>
      </c>
      <c r="D103" s="26"/>
      <c r="E103" s="26"/>
      <c r="F103" s="27">
        <f>F86+F88+F94+F101</f>
        <v>706952.44280521153</v>
      </c>
      <c r="G103" s="27">
        <f>G86+G88+G94+G101</f>
        <v>742843.99042973702</v>
      </c>
      <c r="H103" s="27">
        <f>H86+H92+H94+H101</f>
        <v>965849.20464437234</v>
      </c>
    </row>
    <row r="104" spans="1:8" x14ac:dyDescent="0.25">
      <c r="A104" s="24"/>
      <c r="B104" s="24"/>
      <c r="C104" s="24"/>
      <c r="D104" s="24"/>
      <c r="E104" s="24"/>
      <c r="F104" s="24"/>
      <c r="G104" s="24"/>
      <c r="H104" s="30"/>
    </row>
    <row r="105" spans="1:8" x14ac:dyDescent="0.25">
      <c r="A105" s="24">
        <v>36</v>
      </c>
      <c r="B105" s="57"/>
      <c r="C105" s="63" t="s">
        <v>122</v>
      </c>
      <c r="D105" s="57"/>
      <c r="E105" s="57"/>
      <c r="F105" s="57"/>
      <c r="G105" s="57"/>
      <c r="H105" s="57"/>
    </row>
    <row r="106" spans="1:8" ht="31.5" customHeight="1" x14ac:dyDescent="0.25">
      <c r="A106" s="24"/>
      <c r="B106" s="45" t="s">
        <v>127</v>
      </c>
      <c r="C106" s="45" t="s">
        <v>124</v>
      </c>
      <c r="D106" s="24"/>
      <c r="E106" s="24"/>
      <c r="F106" s="24"/>
      <c r="G106" s="24"/>
      <c r="H106" s="28">
        <v>16894.382000000001</v>
      </c>
    </row>
    <row r="107" spans="1:8" ht="45" customHeight="1" x14ac:dyDescent="0.25">
      <c r="A107" s="24"/>
      <c r="B107" s="45" t="s">
        <v>128</v>
      </c>
      <c r="C107" s="45" t="s">
        <v>125</v>
      </c>
      <c r="D107" s="24"/>
      <c r="E107" s="24"/>
      <c r="F107" s="24"/>
      <c r="G107" s="24"/>
      <c r="H107" s="28">
        <f>1929.3+495.6</f>
        <v>2424.9</v>
      </c>
    </row>
    <row r="108" spans="1:8" ht="30" x14ac:dyDescent="0.25">
      <c r="A108" s="24"/>
      <c r="B108" s="45" t="s">
        <v>130</v>
      </c>
      <c r="C108" s="45" t="s">
        <v>129</v>
      </c>
      <c r="D108" s="24"/>
      <c r="E108" s="24"/>
      <c r="F108" s="24"/>
      <c r="G108" s="24"/>
      <c r="H108" s="28">
        <f>1479.339+3186.989+45539.12</f>
        <v>50205.448000000004</v>
      </c>
    </row>
    <row r="109" spans="1:8" x14ac:dyDescent="0.25">
      <c r="A109" s="24"/>
      <c r="B109" s="45" t="s">
        <v>131</v>
      </c>
      <c r="C109" s="45" t="s">
        <v>126</v>
      </c>
      <c r="D109" s="24"/>
      <c r="E109" s="24"/>
      <c r="F109" s="24"/>
      <c r="G109" s="24"/>
      <c r="H109" s="28">
        <v>1009.304</v>
      </c>
    </row>
    <row r="110" spans="1:8" ht="45" x14ac:dyDescent="0.25">
      <c r="A110" s="24"/>
      <c r="B110" s="45" t="s">
        <v>132</v>
      </c>
      <c r="C110" s="45" t="s">
        <v>142</v>
      </c>
      <c r="D110" s="24"/>
      <c r="E110" s="24"/>
      <c r="F110" s="24"/>
      <c r="G110" s="24"/>
      <c r="H110" s="28">
        <f>308.842+226.005</f>
        <v>534.84699999999998</v>
      </c>
    </row>
    <row r="111" spans="1:8" ht="45" x14ac:dyDescent="0.25">
      <c r="A111" s="24"/>
      <c r="B111" s="45" t="s">
        <v>132</v>
      </c>
      <c r="C111" s="60" t="s">
        <v>143</v>
      </c>
      <c r="D111" s="24"/>
      <c r="E111" s="24"/>
      <c r="F111" s="24"/>
      <c r="G111" s="24"/>
      <c r="H111" s="28">
        <f>216.372+180.211</f>
        <v>396.58300000000003</v>
      </c>
    </row>
    <row r="112" spans="1:8" ht="45" x14ac:dyDescent="0.25">
      <c r="A112" s="24"/>
      <c r="B112" s="45" t="s">
        <v>132</v>
      </c>
      <c r="C112" s="45" t="s">
        <v>144</v>
      </c>
      <c r="D112" s="24"/>
      <c r="E112" s="24"/>
      <c r="F112" s="24"/>
      <c r="G112" s="24"/>
      <c r="H112" s="28">
        <v>0.6</v>
      </c>
    </row>
    <row r="113" spans="1:9" x14ac:dyDescent="0.25">
      <c r="A113" s="24"/>
      <c r="B113" s="45"/>
      <c r="C113" s="45" t="s">
        <v>141</v>
      </c>
      <c r="D113" s="24"/>
      <c r="E113" s="24"/>
      <c r="F113" s="24"/>
      <c r="G113" s="24"/>
      <c r="H113" s="28">
        <v>8682.44</v>
      </c>
    </row>
    <row r="114" spans="1:9" x14ac:dyDescent="0.25">
      <c r="A114" s="24"/>
      <c r="B114" s="45"/>
      <c r="C114" s="58" t="s">
        <v>87</v>
      </c>
      <c r="D114" s="58"/>
      <c r="E114" s="58"/>
      <c r="F114" s="58"/>
      <c r="G114" s="58"/>
      <c r="H114" s="59">
        <f>H106+H107+H108+H109+H110+H111+H112+H113</f>
        <v>80148.504000000015</v>
      </c>
      <c r="I114" s="4"/>
    </row>
    <row r="115" spans="1:9" x14ac:dyDescent="0.25">
      <c r="A115" s="24"/>
      <c r="B115" s="45"/>
      <c r="C115" s="24"/>
      <c r="D115" s="24"/>
      <c r="E115" s="24"/>
      <c r="F115" s="24"/>
      <c r="G115" s="24"/>
      <c r="H115" s="24"/>
    </row>
    <row r="116" spans="1:9" x14ac:dyDescent="0.25">
      <c r="A116" s="24"/>
      <c r="B116" s="45"/>
      <c r="C116" s="58" t="s">
        <v>123</v>
      </c>
      <c r="D116" s="58"/>
      <c r="E116" s="58"/>
      <c r="F116" s="58"/>
      <c r="G116" s="58"/>
      <c r="H116" s="59">
        <f>H103+H114</f>
        <v>1045997.7086443724</v>
      </c>
    </row>
    <row r="117" spans="1:9" x14ac:dyDescent="0.25">
      <c r="A117" s="64"/>
      <c r="B117" s="65"/>
      <c r="C117" s="66"/>
      <c r="D117" s="66"/>
      <c r="E117" s="66"/>
      <c r="F117" s="66"/>
      <c r="G117" s="66"/>
      <c r="H117" s="67"/>
    </row>
    <row r="118" spans="1:9" ht="45" x14ac:dyDescent="0.25">
      <c r="B118" s="121" t="s">
        <v>139</v>
      </c>
      <c r="C118" s="24"/>
      <c r="D118" s="68" t="s">
        <v>136</v>
      </c>
      <c r="E118" s="68" t="s">
        <v>137</v>
      </c>
      <c r="F118" s="69" t="s">
        <v>145</v>
      </c>
      <c r="G118" s="68" t="s">
        <v>138</v>
      </c>
      <c r="H118" s="73"/>
    </row>
    <row r="119" spans="1:9" x14ac:dyDescent="0.25">
      <c r="B119" s="121"/>
      <c r="C119" s="28" t="s">
        <v>135</v>
      </c>
      <c r="D119" s="28">
        <v>67577.7</v>
      </c>
      <c r="E119" s="28">
        <f>D119*1.18</f>
        <v>79741.685999999987</v>
      </c>
      <c r="F119" s="28">
        <v>406.81599999999997</v>
      </c>
      <c r="G119" s="28">
        <f>E119+F119</f>
        <v>80148.501999999993</v>
      </c>
      <c r="H119" s="64"/>
      <c r="I119" s="4"/>
    </row>
  </sheetData>
  <mergeCells count="23">
    <mergeCell ref="B118:B119"/>
    <mergeCell ref="A1:H1"/>
    <mergeCell ref="A2:H2"/>
    <mergeCell ref="A4:A6"/>
    <mergeCell ref="B4:B6"/>
    <mergeCell ref="C4:C6"/>
    <mergeCell ref="D4:H4"/>
    <mergeCell ref="D5:D6"/>
    <mergeCell ref="E5:E6"/>
    <mergeCell ref="F5:F6"/>
    <mergeCell ref="G5:G6"/>
    <mergeCell ref="A74:H74"/>
    <mergeCell ref="H5:H6"/>
    <mergeCell ref="A8:H8"/>
    <mergeCell ref="A13:H13"/>
    <mergeCell ref="A24:H24"/>
    <mergeCell ref="B68:C68"/>
    <mergeCell ref="B69:C69"/>
    <mergeCell ref="A38:H38"/>
    <mergeCell ref="A43:H43"/>
    <mergeCell ref="A49:H49"/>
    <mergeCell ref="A53:H53"/>
    <mergeCell ref="A59:H59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121"/>
  <sheetViews>
    <sheetView tabSelected="1" topLeftCell="A64" zoomScaleNormal="100" workbookViewId="0">
      <selection activeCell="H86" sqref="H86"/>
    </sheetView>
  </sheetViews>
  <sheetFormatPr defaultRowHeight="15" x14ac:dyDescent="0.25"/>
  <cols>
    <col min="1" max="1" width="6.140625" customWidth="1"/>
    <col min="2" max="2" width="18.7109375" customWidth="1"/>
    <col min="3" max="3" width="45.85546875" customWidth="1"/>
    <col min="4" max="4" width="15" customWidth="1"/>
    <col min="5" max="5" width="13.85546875" customWidth="1"/>
    <col min="6" max="6" width="15.28515625" customWidth="1"/>
    <col min="7" max="7" width="13.5703125" customWidth="1"/>
    <col min="8" max="8" width="13.7109375" customWidth="1"/>
    <col min="9" max="9" width="9.140625" hidden="1" customWidth="1"/>
    <col min="10" max="10" width="11.28515625" bestFit="1" customWidth="1"/>
    <col min="11" max="11" width="10" bestFit="1" customWidth="1"/>
    <col min="12" max="12" width="11" customWidth="1"/>
    <col min="14" max="14" width="10" bestFit="1" customWidth="1"/>
  </cols>
  <sheetData>
    <row r="1" spans="1:12" ht="18.75" x14ac:dyDescent="0.25">
      <c r="A1" s="122" t="s">
        <v>183</v>
      </c>
      <c r="B1" s="122"/>
      <c r="C1" s="122"/>
      <c r="D1" s="122"/>
      <c r="E1" s="122"/>
      <c r="F1" s="122"/>
      <c r="G1" s="122"/>
      <c r="H1" s="122"/>
    </row>
    <row r="2" spans="1:12" ht="15.75" x14ac:dyDescent="0.25">
      <c r="A2" s="123" t="s">
        <v>184</v>
      </c>
      <c r="B2" s="123"/>
      <c r="C2" s="123"/>
      <c r="D2" s="123"/>
      <c r="E2" s="123"/>
      <c r="F2" s="123"/>
      <c r="G2" s="123"/>
      <c r="H2" s="123"/>
    </row>
    <row r="3" spans="1:12" x14ac:dyDescent="0.25">
      <c r="A3" s="1"/>
    </row>
    <row r="4" spans="1:12" x14ac:dyDescent="0.25">
      <c r="A4" s="118" t="s">
        <v>58</v>
      </c>
      <c r="B4" s="118"/>
      <c r="C4" s="118" t="s">
        <v>59</v>
      </c>
      <c r="D4" s="118" t="s">
        <v>2</v>
      </c>
      <c r="E4" s="118"/>
      <c r="F4" s="118"/>
      <c r="G4" s="118"/>
      <c r="H4" s="118"/>
    </row>
    <row r="5" spans="1:12" x14ac:dyDescent="0.25">
      <c r="A5" s="118"/>
      <c r="B5" s="118"/>
      <c r="C5" s="118"/>
      <c r="D5" s="118" t="s">
        <v>3</v>
      </c>
      <c r="E5" s="118" t="s">
        <v>4</v>
      </c>
      <c r="F5" s="118" t="s">
        <v>5</v>
      </c>
      <c r="G5" s="118" t="s">
        <v>6</v>
      </c>
      <c r="H5" s="118" t="s">
        <v>7</v>
      </c>
    </row>
    <row r="6" spans="1:12" x14ac:dyDescent="0.25">
      <c r="A6" s="118"/>
      <c r="B6" s="118"/>
      <c r="C6" s="118"/>
      <c r="D6" s="118"/>
      <c r="E6" s="118"/>
      <c r="F6" s="118"/>
      <c r="G6" s="118"/>
      <c r="H6" s="118"/>
    </row>
    <row r="7" spans="1:12" x14ac:dyDescent="0.25">
      <c r="A7" s="103">
        <v>1</v>
      </c>
      <c r="B7" s="103">
        <v>2</v>
      </c>
      <c r="C7" s="103">
        <v>3</v>
      </c>
      <c r="D7" s="103">
        <v>4</v>
      </c>
      <c r="E7" s="103">
        <v>5</v>
      </c>
      <c r="F7" s="103">
        <v>6</v>
      </c>
      <c r="G7" s="103">
        <v>7</v>
      </c>
      <c r="H7" s="103">
        <v>8</v>
      </c>
    </row>
    <row r="8" spans="1:12" x14ac:dyDescent="0.25">
      <c r="A8" s="114" t="s">
        <v>8</v>
      </c>
      <c r="B8" s="115"/>
      <c r="C8" s="115"/>
      <c r="D8" s="115"/>
      <c r="E8" s="115"/>
      <c r="F8" s="115"/>
      <c r="G8" s="115"/>
      <c r="H8" s="120"/>
    </row>
    <row r="9" spans="1:12" ht="30" x14ac:dyDescent="0.25">
      <c r="A9" s="103">
        <v>1</v>
      </c>
      <c r="B9" s="103"/>
      <c r="C9" s="104" t="s">
        <v>9</v>
      </c>
      <c r="D9" s="3"/>
      <c r="E9" s="3"/>
      <c r="F9" s="3"/>
      <c r="G9" s="3">
        <v>0</v>
      </c>
      <c r="H9" s="3">
        <f>D9+E9+F9+G9</f>
        <v>0</v>
      </c>
    </row>
    <row r="10" spans="1:12" ht="30" x14ac:dyDescent="0.25">
      <c r="A10" s="103">
        <v>2</v>
      </c>
      <c r="B10" s="103"/>
      <c r="C10" s="104" t="s">
        <v>10</v>
      </c>
      <c r="D10" s="3"/>
      <c r="E10" s="3"/>
      <c r="F10" s="3"/>
      <c r="G10" s="3">
        <v>0</v>
      </c>
      <c r="H10" s="3">
        <f t="shared" ref="H10:H12" si="0">D10+E10+F10+G10</f>
        <v>0</v>
      </c>
    </row>
    <row r="11" spans="1:12" ht="30" x14ac:dyDescent="0.25">
      <c r="A11" s="103">
        <v>3</v>
      </c>
      <c r="B11" s="103"/>
      <c r="C11" s="104" t="s">
        <v>11</v>
      </c>
      <c r="D11" s="3"/>
      <c r="E11" s="3"/>
      <c r="F11" s="3"/>
      <c r="G11" s="3">
        <v>0</v>
      </c>
      <c r="H11" s="3">
        <f t="shared" si="0"/>
        <v>0</v>
      </c>
    </row>
    <row r="12" spans="1:12" x14ac:dyDescent="0.25">
      <c r="A12" s="103"/>
      <c r="B12" s="103"/>
      <c r="C12" s="105" t="s">
        <v>12</v>
      </c>
      <c r="D12" s="2"/>
      <c r="E12" s="2"/>
      <c r="F12" s="2"/>
      <c r="G12" s="2">
        <f>G9+G10+G11</f>
        <v>0</v>
      </c>
      <c r="H12" s="3">
        <f t="shared" si="0"/>
        <v>0</v>
      </c>
    </row>
    <row r="13" spans="1:12" x14ac:dyDescent="0.25">
      <c r="A13" s="114" t="s">
        <v>13</v>
      </c>
      <c r="B13" s="115"/>
      <c r="C13" s="115"/>
      <c r="D13" s="115"/>
      <c r="E13" s="115"/>
      <c r="F13" s="115"/>
      <c r="G13" s="115"/>
      <c r="H13" s="120"/>
    </row>
    <row r="14" spans="1:12" x14ac:dyDescent="0.25">
      <c r="A14" s="103">
        <v>4</v>
      </c>
      <c r="B14" s="5" t="s">
        <v>60</v>
      </c>
      <c r="C14" s="104" t="s">
        <v>14</v>
      </c>
      <c r="D14" s="3">
        <v>392476.02</v>
      </c>
      <c r="E14" s="3">
        <v>32008.94</v>
      </c>
      <c r="F14" s="3">
        <f>63333.73-F16-F17-F18-F19-F20-F21</f>
        <v>21941.111623360004</v>
      </c>
      <c r="G14" s="3"/>
      <c r="H14" s="3">
        <f>D14+E14+F14+G14</f>
        <v>446426.07162336004</v>
      </c>
    </row>
    <row r="15" spans="1:12" ht="28.5" x14ac:dyDescent="0.25">
      <c r="A15" s="103"/>
      <c r="B15" s="5"/>
      <c r="C15" s="33" t="s">
        <v>147</v>
      </c>
      <c r="D15" s="3"/>
      <c r="E15" s="3"/>
      <c r="F15" s="107"/>
      <c r="G15" s="3"/>
      <c r="H15" s="3"/>
      <c r="K15" t="s">
        <v>149</v>
      </c>
    </row>
    <row r="16" spans="1:12" ht="30" x14ac:dyDescent="0.25">
      <c r="A16" s="103"/>
      <c r="B16" s="5" t="s">
        <v>104</v>
      </c>
      <c r="C16" s="33" t="s">
        <v>148</v>
      </c>
      <c r="D16" s="35"/>
      <c r="E16" s="35"/>
      <c r="F16" s="34">
        <v>27266.813999999998</v>
      </c>
      <c r="G16" s="35"/>
      <c r="H16" s="35"/>
      <c r="L16" s="4"/>
    </row>
    <row r="17" spans="1:9" x14ac:dyDescent="0.25">
      <c r="A17" s="103"/>
      <c r="B17" s="5" t="s">
        <v>105</v>
      </c>
      <c r="C17" s="33" t="s">
        <v>107</v>
      </c>
      <c r="D17" s="34"/>
      <c r="E17" s="34"/>
      <c r="F17" s="34">
        <f>(1925.24)*1.06*1.012</f>
        <v>2065.2434527999999</v>
      </c>
      <c r="G17" s="35"/>
      <c r="H17" s="35"/>
    </row>
    <row r="18" spans="1:9" x14ac:dyDescent="0.25">
      <c r="A18" s="103"/>
      <c r="B18" s="5" t="s">
        <v>105</v>
      </c>
      <c r="C18" s="33" t="s">
        <v>106</v>
      </c>
      <c r="D18" s="34"/>
      <c r="E18" s="34"/>
      <c r="F18" s="34">
        <f>(5430.6)*1.06*1.012</f>
        <v>5825.5132320000002</v>
      </c>
      <c r="G18" s="35"/>
      <c r="H18" s="35"/>
    </row>
    <row r="19" spans="1:9" ht="28.5" x14ac:dyDescent="0.25">
      <c r="A19" s="103"/>
      <c r="B19" s="5" t="s">
        <v>105</v>
      </c>
      <c r="C19" s="33" t="s">
        <v>108</v>
      </c>
      <c r="D19" s="34"/>
      <c r="E19" s="34"/>
      <c r="F19" s="34">
        <f>(58.184)*1.06*1.012</f>
        <v>62.415140480000005</v>
      </c>
      <c r="G19" s="35"/>
      <c r="H19" s="35"/>
      <c r="I19">
        <f>(F17+F18+F19+F20+F21+F28+F31+F32)*1.076*1.01*1.056*1.062*1.065*1.039</f>
        <v>24669.73000534645</v>
      </c>
    </row>
    <row r="20" spans="1:9" ht="28.5" x14ac:dyDescent="0.25">
      <c r="A20" s="103"/>
      <c r="B20" s="5" t="s">
        <v>105</v>
      </c>
      <c r="C20" s="33" t="s">
        <v>109</v>
      </c>
      <c r="D20" s="34"/>
      <c r="E20" s="34"/>
      <c r="F20" s="34">
        <f>(5648.373)*1.06*1.012</f>
        <v>6059.1226845600004</v>
      </c>
      <c r="G20" s="35"/>
      <c r="H20" s="35"/>
    </row>
    <row r="21" spans="1:9" x14ac:dyDescent="0.25">
      <c r="A21" s="103"/>
      <c r="B21" s="5" t="s">
        <v>105</v>
      </c>
      <c r="C21" s="33" t="s">
        <v>110</v>
      </c>
      <c r="D21" s="34"/>
      <c r="E21" s="34"/>
      <c r="F21" s="34">
        <f>(101.617+3.264+0.934)*1.06*1.012</f>
        <v>113.5098668</v>
      </c>
      <c r="G21" s="35"/>
      <c r="H21" s="35"/>
    </row>
    <row r="22" spans="1:9" x14ac:dyDescent="0.25">
      <c r="A22" s="103"/>
      <c r="B22" s="5"/>
      <c r="C22" s="38"/>
      <c r="D22" s="39"/>
      <c r="E22" s="39"/>
      <c r="F22" s="39"/>
      <c r="G22" s="40"/>
      <c r="H22" s="40"/>
    </row>
    <row r="23" spans="1:9" x14ac:dyDescent="0.25">
      <c r="A23" s="103"/>
      <c r="B23" s="5"/>
      <c r="C23" s="105" t="s">
        <v>15</v>
      </c>
      <c r="D23" s="2">
        <f>D14</f>
        <v>392476.02</v>
      </c>
      <c r="E23" s="2">
        <f t="shared" ref="E23:H23" si="1">E14</f>
        <v>32008.94</v>
      </c>
      <c r="F23" s="2">
        <f t="shared" si="1"/>
        <v>21941.111623360004</v>
      </c>
      <c r="G23" s="2">
        <f t="shared" si="1"/>
        <v>0</v>
      </c>
      <c r="H23" s="2">
        <f t="shared" si="1"/>
        <v>446426.07162336004</v>
      </c>
    </row>
    <row r="24" spans="1:9" x14ac:dyDescent="0.25">
      <c r="A24" s="114" t="s">
        <v>16</v>
      </c>
      <c r="B24" s="115"/>
      <c r="C24" s="115"/>
      <c r="D24" s="115"/>
      <c r="E24" s="115"/>
      <c r="F24" s="115"/>
      <c r="G24" s="115"/>
      <c r="H24" s="120"/>
    </row>
    <row r="25" spans="1:9" ht="44.25" x14ac:dyDescent="0.25">
      <c r="A25" s="103">
        <v>5</v>
      </c>
      <c r="B25" s="6" t="s">
        <v>61</v>
      </c>
      <c r="C25" s="15" t="s">
        <v>95</v>
      </c>
      <c r="D25" s="3"/>
      <c r="E25" s="3"/>
      <c r="F25" s="3"/>
      <c r="G25" s="21"/>
      <c r="H25" s="3">
        <f>D25+E25+F25+G25</f>
        <v>0</v>
      </c>
    </row>
    <row r="26" spans="1:9" x14ac:dyDescent="0.25">
      <c r="A26" s="103">
        <v>6</v>
      </c>
      <c r="B26" s="6" t="s">
        <v>62</v>
      </c>
      <c r="C26" s="104" t="s">
        <v>17</v>
      </c>
      <c r="D26" s="3">
        <v>101.13</v>
      </c>
      <c r="E26" s="3">
        <v>49.29</v>
      </c>
      <c r="F26" s="3">
        <v>0</v>
      </c>
      <c r="G26" s="21"/>
      <c r="H26" s="3">
        <f t="shared" ref="H26:H36" si="2">D26+E26+F26+G26</f>
        <v>150.41999999999999</v>
      </c>
    </row>
    <row r="27" spans="1:9" ht="28.5" x14ac:dyDescent="0.25">
      <c r="A27" s="103"/>
      <c r="B27" s="6"/>
      <c r="C27" s="33" t="s">
        <v>147</v>
      </c>
      <c r="D27" s="3"/>
      <c r="E27" s="3"/>
      <c r="F27" s="3"/>
      <c r="G27" s="21"/>
      <c r="H27" s="3"/>
    </row>
    <row r="28" spans="1:9" x14ac:dyDescent="0.25">
      <c r="A28" s="103"/>
      <c r="B28" s="6"/>
      <c r="C28" s="33" t="s">
        <v>97</v>
      </c>
      <c r="D28" s="34"/>
      <c r="E28" s="34"/>
      <c r="F28" s="34">
        <f>3083.476*1.06*1.012</f>
        <v>3307.7063747200004</v>
      </c>
      <c r="G28" s="37"/>
      <c r="H28" s="35"/>
    </row>
    <row r="29" spans="1:9" x14ac:dyDescent="0.25">
      <c r="A29" s="103">
        <v>7</v>
      </c>
      <c r="B29" s="6" t="s">
        <v>63</v>
      </c>
      <c r="C29" s="104" t="s">
        <v>18</v>
      </c>
      <c r="D29" s="3">
        <v>479.41</v>
      </c>
      <c r="E29" s="3">
        <v>4461.95</v>
      </c>
      <c r="F29" s="3">
        <v>0</v>
      </c>
      <c r="G29" s="21"/>
      <c r="H29" s="3">
        <f t="shared" si="2"/>
        <v>4941.3599999999997</v>
      </c>
    </row>
    <row r="30" spans="1:9" ht="28.5" x14ac:dyDescent="0.25">
      <c r="A30" s="103"/>
      <c r="B30" s="6"/>
      <c r="C30" s="33" t="s">
        <v>147</v>
      </c>
      <c r="D30" s="3"/>
      <c r="E30" s="3"/>
      <c r="F30" s="3"/>
      <c r="G30" s="21"/>
      <c r="H30" s="3"/>
    </row>
    <row r="31" spans="1:9" x14ac:dyDescent="0.25">
      <c r="A31" s="103"/>
      <c r="B31" s="6"/>
      <c r="C31" s="33" t="s">
        <v>98</v>
      </c>
      <c r="D31" s="34"/>
      <c r="E31" s="34"/>
      <c r="F31" s="34">
        <f>634.875*1.06*1.012</f>
        <v>681.04311000000007</v>
      </c>
      <c r="G31" s="37"/>
      <c r="H31" s="35"/>
    </row>
    <row r="32" spans="1:9" x14ac:dyDescent="0.25">
      <c r="A32" s="103"/>
      <c r="B32" s="6"/>
      <c r="C32" s="33" t="s">
        <v>99</v>
      </c>
      <c r="D32" s="34"/>
      <c r="E32" s="34"/>
      <c r="F32" s="34">
        <f>166.044*1.06*1.012</f>
        <v>178.11871968000003</v>
      </c>
      <c r="G32" s="37"/>
      <c r="H32" s="35"/>
    </row>
    <row r="33" spans="1:10" x14ac:dyDescent="0.25">
      <c r="A33" s="103">
        <v>8</v>
      </c>
      <c r="B33" s="6" t="s">
        <v>64</v>
      </c>
      <c r="C33" s="104" t="s">
        <v>19</v>
      </c>
      <c r="D33" s="3">
        <v>43.61</v>
      </c>
      <c r="E33" s="3">
        <v>657.21</v>
      </c>
      <c r="F33" s="3"/>
      <c r="G33" s="21"/>
      <c r="H33" s="3">
        <f t="shared" si="2"/>
        <v>700.82</v>
      </c>
    </row>
    <row r="34" spans="1:10" x14ac:dyDescent="0.25">
      <c r="A34" s="103">
        <v>9</v>
      </c>
      <c r="B34" s="6" t="s">
        <v>65</v>
      </c>
      <c r="C34" s="104" t="s">
        <v>20</v>
      </c>
      <c r="D34" s="3">
        <v>122.06</v>
      </c>
      <c r="E34" s="3">
        <v>456.78</v>
      </c>
      <c r="F34" s="3">
        <v>1.35</v>
      </c>
      <c r="G34" s="21"/>
      <c r="H34" s="3">
        <f t="shared" si="2"/>
        <v>580.18999999999994</v>
      </c>
    </row>
    <row r="35" spans="1:10" x14ac:dyDescent="0.25">
      <c r="A35" s="103">
        <v>10</v>
      </c>
      <c r="B35" s="6" t="s">
        <v>66</v>
      </c>
      <c r="C35" s="104" t="s">
        <v>21</v>
      </c>
      <c r="D35" s="3"/>
      <c r="E35" s="3">
        <v>0</v>
      </c>
      <c r="F35" s="3"/>
      <c r="G35" s="21"/>
      <c r="H35" s="3">
        <f t="shared" si="2"/>
        <v>0</v>
      </c>
    </row>
    <row r="36" spans="1:10" ht="43.5" x14ac:dyDescent="0.25">
      <c r="A36" s="103">
        <v>11</v>
      </c>
      <c r="B36" s="6" t="s">
        <v>67</v>
      </c>
      <c r="C36" s="104" t="s">
        <v>96</v>
      </c>
      <c r="D36" s="3"/>
      <c r="E36" s="3"/>
      <c r="F36" s="3"/>
      <c r="G36" s="21"/>
      <c r="H36" s="3">
        <f t="shared" si="2"/>
        <v>0</v>
      </c>
    </row>
    <row r="37" spans="1:10" x14ac:dyDescent="0.25">
      <c r="A37" s="103"/>
      <c r="B37" s="104"/>
      <c r="C37" s="105" t="s">
        <v>22</v>
      </c>
      <c r="D37" s="2">
        <f>D25+D26+D29+D33+D34+D35+D36</f>
        <v>746.21</v>
      </c>
      <c r="E37" s="2">
        <f>E26+E29+E33+E34+E35</f>
        <v>5625.23</v>
      </c>
      <c r="F37" s="22">
        <f>F26+F29+F34</f>
        <v>1.35</v>
      </c>
      <c r="G37" s="2">
        <f t="shared" ref="G37" si="3">G25+G26+G29+G33+G34+G35+G36</f>
        <v>0</v>
      </c>
      <c r="H37" s="2">
        <f>H26+H29+H33+H34+H35</f>
        <v>6372.7899999999991</v>
      </c>
    </row>
    <row r="38" spans="1:10" x14ac:dyDescent="0.25">
      <c r="A38" s="114" t="s">
        <v>23</v>
      </c>
      <c r="B38" s="115"/>
      <c r="C38" s="115"/>
      <c r="D38" s="115"/>
      <c r="E38" s="115"/>
      <c r="F38" s="115"/>
      <c r="G38" s="115"/>
      <c r="H38" s="120"/>
    </row>
    <row r="39" spans="1:10" x14ac:dyDescent="0.25">
      <c r="A39" s="103">
        <v>12</v>
      </c>
      <c r="B39" s="6" t="s">
        <v>69</v>
      </c>
      <c r="C39" s="104" t="s">
        <v>24</v>
      </c>
      <c r="D39" s="3">
        <v>5589.71</v>
      </c>
      <c r="E39" s="3"/>
      <c r="F39" s="3"/>
      <c r="G39" s="3"/>
      <c r="H39" s="3">
        <f>D39+E39+F39+G39</f>
        <v>5589.71</v>
      </c>
    </row>
    <row r="40" spans="1:10" x14ac:dyDescent="0.25">
      <c r="A40" s="103">
        <v>13</v>
      </c>
      <c r="B40" s="6" t="s">
        <v>70</v>
      </c>
      <c r="C40" s="104" t="s">
        <v>25</v>
      </c>
      <c r="D40" s="3">
        <v>902.29</v>
      </c>
      <c r="E40" s="3"/>
      <c r="F40" s="3"/>
      <c r="G40" s="3"/>
      <c r="H40" s="3">
        <f t="shared" ref="H40:H42" si="4">D40+E40+F40+G40</f>
        <v>902.29</v>
      </c>
    </row>
    <row r="41" spans="1:10" x14ac:dyDescent="0.25">
      <c r="A41" s="103">
        <v>14</v>
      </c>
      <c r="B41" s="6" t="s">
        <v>71</v>
      </c>
      <c r="C41" s="104" t="s">
        <v>26</v>
      </c>
      <c r="D41" s="3">
        <v>677.28</v>
      </c>
      <c r="E41" s="3">
        <v>11.63</v>
      </c>
      <c r="F41" s="3">
        <v>0</v>
      </c>
      <c r="G41" s="3"/>
      <c r="H41" s="3">
        <f t="shared" si="4"/>
        <v>688.91</v>
      </c>
    </row>
    <row r="42" spans="1:10" x14ac:dyDescent="0.25">
      <c r="A42" s="103"/>
      <c r="B42" s="104"/>
      <c r="C42" s="105" t="s">
        <v>27</v>
      </c>
      <c r="D42" s="2">
        <f>D39+D40+D41</f>
        <v>7169.28</v>
      </c>
      <c r="E42" s="2">
        <f t="shared" ref="E42:G42" si="5">E39+E40+E41</f>
        <v>11.63</v>
      </c>
      <c r="F42" s="2">
        <f t="shared" si="5"/>
        <v>0</v>
      </c>
      <c r="G42" s="2">
        <f t="shared" si="5"/>
        <v>0</v>
      </c>
      <c r="H42" s="3">
        <f t="shared" si="4"/>
        <v>7180.91</v>
      </c>
      <c r="J42" s="4"/>
    </row>
    <row r="43" spans="1:10" x14ac:dyDescent="0.25">
      <c r="A43" s="114" t="s">
        <v>28</v>
      </c>
      <c r="B43" s="115"/>
      <c r="C43" s="115"/>
      <c r="D43" s="115"/>
      <c r="E43" s="115"/>
      <c r="F43" s="115"/>
      <c r="G43" s="115"/>
      <c r="H43" s="120"/>
    </row>
    <row r="44" spans="1:10" x14ac:dyDescent="0.25">
      <c r="A44" s="103">
        <v>15</v>
      </c>
      <c r="B44" s="6" t="s">
        <v>72</v>
      </c>
      <c r="C44" s="104" t="s">
        <v>29</v>
      </c>
      <c r="D44" s="7" t="s">
        <v>177</v>
      </c>
      <c r="E44" s="103"/>
      <c r="F44" s="103"/>
      <c r="G44" s="103"/>
      <c r="H44" s="7">
        <f>D44+E44+F44+G44</f>
        <v>8867.2199999999993</v>
      </c>
    </row>
    <row r="45" spans="1:10" x14ac:dyDescent="0.25">
      <c r="A45" s="103">
        <v>16</v>
      </c>
      <c r="B45" s="6" t="s">
        <v>73</v>
      </c>
      <c r="C45" s="104" t="s">
        <v>30</v>
      </c>
      <c r="D45" s="7" t="s">
        <v>178</v>
      </c>
      <c r="E45" s="103"/>
      <c r="F45" s="103"/>
      <c r="G45" s="103"/>
      <c r="H45" s="7">
        <f t="shared" ref="H45:H46" si="6">D45+E45+F45+G45</f>
        <v>295.24</v>
      </c>
    </row>
    <row r="46" spans="1:10" x14ac:dyDescent="0.25">
      <c r="A46" s="103">
        <v>17</v>
      </c>
      <c r="B46" s="6" t="s">
        <v>74</v>
      </c>
      <c r="C46" s="104" t="s">
        <v>31</v>
      </c>
      <c r="D46" s="7" t="s">
        <v>179</v>
      </c>
      <c r="E46" s="103"/>
      <c r="F46" s="103"/>
      <c r="G46" s="103"/>
      <c r="H46" s="7">
        <f t="shared" si="6"/>
        <v>148.38</v>
      </c>
    </row>
    <row r="47" spans="1:10" x14ac:dyDescent="0.25">
      <c r="A47" s="103"/>
      <c r="B47" s="104"/>
      <c r="C47" s="105" t="s">
        <v>76</v>
      </c>
      <c r="D47" s="2">
        <f>D44+D45+D46</f>
        <v>9310.8399999999983</v>
      </c>
      <c r="E47" s="2">
        <f t="shared" ref="E47:H47" si="7">E44+E45+E46</f>
        <v>0</v>
      </c>
      <c r="F47" s="2">
        <f t="shared" si="7"/>
        <v>0</v>
      </c>
      <c r="G47" s="2">
        <f t="shared" si="7"/>
        <v>0</v>
      </c>
      <c r="H47" s="2">
        <f t="shared" si="7"/>
        <v>9310.8399999999983</v>
      </c>
    </row>
    <row r="48" spans="1:10" x14ac:dyDescent="0.25">
      <c r="A48" s="11"/>
      <c r="B48" s="105"/>
      <c r="C48" s="105" t="s">
        <v>32</v>
      </c>
      <c r="D48" s="2">
        <f>D12+D23+D37+D42+D47</f>
        <v>409702.35000000009</v>
      </c>
      <c r="E48" s="2">
        <f t="shared" ref="E48:H48" si="8">E12+E23+E37+E42+E47</f>
        <v>37645.799999999996</v>
      </c>
      <c r="F48" s="2">
        <f>F12+F23+F37+F42+F47</f>
        <v>21942.461623360003</v>
      </c>
      <c r="G48" s="2">
        <f t="shared" si="8"/>
        <v>0</v>
      </c>
      <c r="H48" s="2">
        <f t="shared" si="8"/>
        <v>469290.61162336002</v>
      </c>
    </row>
    <row r="49" spans="1:10" x14ac:dyDescent="0.25">
      <c r="A49" s="114" t="s">
        <v>33</v>
      </c>
      <c r="B49" s="115"/>
      <c r="C49" s="115"/>
      <c r="D49" s="115"/>
      <c r="E49" s="115"/>
      <c r="F49" s="115"/>
      <c r="G49" s="115"/>
      <c r="H49" s="120"/>
    </row>
    <row r="50" spans="1:10" ht="30" x14ac:dyDescent="0.25">
      <c r="A50" s="103">
        <v>18</v>
      </c>
      <c r="B50" s="104" t="s">
        <v>34</v>
      </c>
      <c r="C50" s="15" t="s">
        <v>35</v>
      </c>
      <c r="D50" s="3">
        <f>D48*0.018</f>
        <v>7374.6423000000013</v>
      </c>
      <c r="E50" s="3">
        <f>E48*0.018</f>
        <v>677.62439999999992</v>
      </c>
      <c r="F50" s="3"/>
      <c r="G50" s="3"/>
      <c r="H50" s="3">
        <f>D50+E50+F50+G50</f>
        <v>8052.266700000001</v>
      </c>
    </row>
    <row r="51" spans="1:10" x14ac:dyDescent="0.25">
      <c r="A51" s="103"/>
      <c r="B51" s="104"/>
      <c r="C51" s="105" t="s">
        <v>36</v>
      </c>
      <c r="D51" s="2">
        <f>D50</f>
        <v>7374.6423000000013</v>
      </c>
      <c r="E51" s="2">
        <f t="shared" ref="E51:H51" si="9">E50</f>
        <v>677.62439999999992</v>
      </c>
      <c r="F51" s="2">
        <f t="shared" si="9"/>
        <v>0</v>
      </c>
      <c r="G51" s="2">
        <f t="shared" si="9"/>
        <v>0</v>
      </c>
      <c r="H51" s="2">
        <f t="shared" si="9"/>
        <v>8052.266700000001</v>
      </c>
    </row>
    <row r="52" spans="1:10" x14ac:dyDescent="0.25">
      <c r="A52" s="103"/>
      <c r="B52" s="104"/>
      <c r="C52" s="105" t="s">
        <v>37</v>
      </c>
      <c r="D52" s="2">
        <f>D48+D51</f>
        <v>417076.9923000001</v>
      </c>
      <c r="E52" s="2">
        <f t="shared" ref="E52:H52" si="10">E48+E51</f>
        <v>38323.424399999996</v>
      </c>
      <c r="F52" s="2">
        <f t="shared" si="10"/>
        <v>21942.461623360003</v>
      </c>
      <c r="G52" s="2">
        <f t="shared" si="10"/>
        <v>0</v>
      </c>
      <c r="H52" s="2">
        <f t="shared" si="10"/>
        <v>477342.87832336</v>
      </c>
    </row>
    <row r="53" spans="1:10" x14ac:dyDescent="0.25">
      <c r="A53" s="114" t="s">
        <v>38</v>
      </c>
      <c r="B53" s="115"/>
      <c r="C53" s="115"/>
      <c r="D53" s="115"/>
      <c r="E53" s="115"/>
      <c r="F53" s="115"/>
      <c r="G53" s="115"/>
      <c r="H53" s="120"/>
    </row>
    <row r="54" spans="1:10" ht="30" x14ac:dyDescent="0.25">
      <c r="A54" s="103">
        <v>19</v>
      </c>
      <c r="B54" s="104" t="s">
        <v>39</v>
      </c>
      <c r="C54" s="104" t="s">
        <v>40</v>
      </c>
      <c r="D54" s="3">
        <f>D52*0.036</f>
        <v>15014.771722800002</v>
      </c>
      <c r="E54" s="3">
        <f>E52*0.036</f>
        <v>1379.6432783999999</v>
      </c>
      <c r="F54" s="3"/>
      <c r="G54" s="3"/>
      <c r="H54" s="3">
        <f>D54+E54+F54+G54</f>
        <v>16394.415001200003</v>
      </c>
    </row>
    <row r="55" spans="1:10" ht="30" x14ac:dyDescent="0.25">
      <c r="A55" s="103">
        <v>20</v>
      </c>
      <c r="B55" s="104" t="s">
        <v>41</v>
      </c>
      <c r="C55" s="15" t="s">
        <v>77</v>
      </c>
      <c r="D55" s="3"/>
      <c r="E55" s="3"/>
      <c r="F55" s="3"/>
      <c r="G55" s="3">
        <v>0</v>
      </c>
      <c r="H55" s="3">
        <f t="shared" ref="H55:H56" si="11">D55+E55+F55+G55</f>
        <v>0</v>
      </c>
    </row>
    <row r="56" spans="1:10" x14ac:dyDescent="0.25">
      <c r="A56" s="103">
        <v>21</v>
      </c>
      <c r="B56" s="104" t="s">
        <v>42</v>
      </c>
      <c r="C56" s="104" t="s">
        <v>43</v>
      </c>
      <c r="D56" s="3"/>
      <c r="E56" s="3"/>
      <c r="F56" s="3"/>
      <c r="G56" s="3">
        <v>0</v>
      </c>
      <c r="H56" s="3">
        <f t="shared" si="11"/>
        <v>0</v>
      </c>
    </row>
    <row r="57" spans="1:10" x14ac:dyDescent="0.25">
      <c r="A57" s="103"/>
      <c r="B57" s="104"/>
      <c r="C57" s="105" t="s">
        <v>44</v>
      </c>
      <c r="D57" s="2">
        <f>D54+D55+D56</f>
        <v>15014.771722800002</v>
      </c>
      <c r="E57" s="2">
        <f t="shared" ref="E57:H57" si="12">E54+E55+E56</f>
        <v>1379.6432783999999</v>
      </c>
      <c r="F57" s="2">
        <f t="shared" si="12"/>
        <v>0</v>
      </c>
      <c r="G57" s="2">
        <f t="shared" si="12"/>
        <v>0</v>
      </c>
      <c r="H57" s="2">
        <f t="shared" si="12"/>
        <v>16394.415001200003</v>
      </c>
      <c r="J57" s="4"/>
    </row>
    <row r="58" spans="1:10" x14ac:dyDescent="0.25">
      <c r="A58" s="103"/>
      <c r="B58" s="104"/>
      <c r="C58" s="105" t="s">
        <v>45</v>
      </c>
      <c r="D58" s="2">
        <f>D52+D57</f>
        <v>432091.76402280008</v>
      </c>
      <c r="E58" s="2">
        <f t="shared" ref="E58:H58" si="13">E52+E57</f>
        <v>39703.067678399995</v>
      </c>
      <c r="F58" s="2">
        <f t="shared" si="13"/>
        <v>21942.461623360003</v>
      </c>
      <c r="G58" s="2">
        <f t="shared" si="13"/>
        <v>0</v>
      </c>
      <c r="H58" s="2">
        <f t="shared" si="13"/>
        <v>493737.29332455999</v>
      </c>
    </row>
    <row r="59" spans="1:10" x14ac:dyDescent="0.25">
      <c r="A59" s="114" t="s">
        <v>94</v>
      </c>
      <c r="B59" s="115"/>
      <c r="C59" s="115"/>
      <c r="D59" s="115"/>
      <c r="E59" s="115"/>
      <c r="F59" s="115"/>
      <c r="G59" s="115"/>
      <c r="H59" s="120"/>
    </row>
    <row r="60" spans="1:10" ht="22.5" x14ac:dyDescent="0.25">
      <c r="A60" s="103">
        <v>22</v>
      </c>
      <c r="B60" s="8" t="s">
        <v>46</v>
      </c>
      <c r="C60" s="15" t="s">
        <v>47</v>
      </c>
      <c r="D60" s="3"/>
      <c r="E60" s="3"/>
      <c r="F60" s="3"/>
      <c r="G60" s="3"/>
      <c r="H60" s="3">
        <f>D60+E60+F60+G60</f>
        <v>0</v>
      </c>
    </row>
    <row r="61" spans="1:10" x14ac:dyDescent="0.25">
      <c r="A61" s="103">
        <v>23</v>
      </c>
      <c r="B61" s="104"/>
      <c r="C61" s="104" t="s">
        <v>48</v>
      </c>
      <c r="D61" s="3"/>
      <c r="E61" s="3"/>
      <c r="F61" s="3"/>
      <c r="G61" s="3"/>
      <c r="H61" s="3">
        <f t="shared" ref="H61:H64" si="14">D61+E61+F61+G61</f>
        <v>0</v>
      </c>
    </row>
    <row r="62" spans="1:10" x14ac:dyDescent="0.25">
      <c r="A62" s="103">
        <v>24</v>
      </c>
      <c r="B62" s="104"/>
      <c r="C62" s="104" t="s">
        <v>49</v>
      </c>
      <c r="D62" s="3"/>
      <c r="E62" s="3"/>
      <c r="F62" s="3"/>
      <c r="G62" s="3"/>
      <c r="H62" s="3">
        <f t="shared" si="14"/>
        <v>0</v>
      </c>
    </row>
    <row r="63" spans="1:10" ht="60" x14ac:dyDescent="0.25">
      <c r="A63" s="103">
        <v>25</v>
      </c>
      <c r="B63" s="104" t="s">
        <v>50</v>
      </c>
      <c r="C63" s="104" t="s">
        <v>51</v>
      </c>
      <c r="D63" s="3"/>
      <c r="E63" s="3"/>
      <c r="F63" s="3"/>
      <c r="G63" s="3"/>
      <c r="H63" s="3">
        <f t="shared" si="14"/>
        <v>0</v>
      </c>
    </row>
    <row r="64" spans="1:10" x14ac:dyDescent="0.25">
      <c r="A64" s="103">
        <v>26</v>
      </c>
      <c r="B64" s="104" t="s">
        <v>52</v>
      </c>
      <c r="C64" s="104" t="s">
        <v>53</v>
      </c>
      <c r="D64" s="3"/>
      <c r="E64" s="3"/>
      <c r="F64" s="3"/>
      <c r="G64" s="3"/>
      <c r="H64" s="3">
        <f t="shared" si="14"/>
        <v>0</v>
      </c>
    </row>
    <row r="65" spans="1:10" x14ac:dyDescent="0.25">
      <c r="A65" s="103"/>
      <c r="B65" s="104"/>
      <c r="C65" s="105" t="s">
        <v>54</v>
      </c>
      <c r="D65" s="2">
        <f>D60+D61+D62+D63+D64</f>
        <v>0</v>
      </c>
      <c r="E65" s="2">
        <f t="shared" ref="E65:H65" si="15">E60+E61+E62+E63+E64</f>
        <v>0</v>
      </c>
      <c r="F65" s="2">
        <f t="shared" si="15"/>
        <v>0</v>
      </c>
      <c r="G65" s="2">
        <f t="shared" si="15"/>
        <v>0</v>
      </c>
      <c r="H65" s="2">
        <f t="shared" si="15"/>
        <v>0</v>
      </c>
    </row>
    <row r="66" spans="1:10" x14ac:dyDescent="0.25">
      <c r="A66" s="103"/>
      <c r="B66" s="104"/>
      <c r="C66" s="105" t="s">
        <v>176</v>
      </c>
      <c r="D66" s="2">
        <f>D58+D65</f>
        <v>432091.76402280008</v>
      </c>
      <c r="E66" s="2">
        <f>E58+E65</f>
        <v>39703.067678399995</v>
      </c>
      <c r="F66" s="2">
        <f>F58+F65</f>
        <v>21942.461623360003</v>
      </c>
      <c r="G66" s="2">
        <f>G58+G65</f>
        <v>0</v>
      </c>
      <c r="H66" s="2">
        <f>H58+H65</f>
        <v>493737.29332455999</v>
      </c>
    </row>
    <row r="67" spans="1:10" x14ac:dyDescent="0.25">
      <c r="A67" s="103"/>
      <c r="B67" s="104"/>
      <c r="C67" s="105"/>
      <c r="D67" s="2"/>
      <c r="E67" s="2"/>
      <c r="F67" s="2"/>
      <c r="G67" s="2"/>
      <c r="H67" s="2"/>
    </row>
    <row r="68" spans="1:10" x14ac:dyDescent="0.25">
      <c r="A68" s="103"/>
      <c r="B68" s="116" t="s">
        <v>79</v>
      </c>
      <c r="C68" s="116"/>
      <c r="D68" s="2"/>
      <c r="E68" s="2"/>
      <c r="F68" s="2"/>
      <c r="G68" s="2"/>
      <c r="H68" s="2"/>
    </row>
    <row r="69" spans="1:10" x14ac:dyDescent="0.25">
      <c r="A69" s="103"/>
      <c r="B69" s="113" t="s">
        <v>80</v>
      </c>
      <c r="C69" s="113"/>
      <c r="D69" s="2"/>
      <c r="E69" s="2"/>
      <c r="F69" s="2"/>
      <c r="G69" s="2"/>
      <c r="H69" s="2"/>
    </row>
    <row r="70" spans="1:10" ht="28.5" x14ac:dyDescent="0.25">
      <c r="A70" s="103"/>
      <c r="B70" s="104" t="s">
        <v>85</v>
      </c>
      <c r="C70" s="105" t="s">
        <v>180</v>
      </c>
      <c r="D70" s="2">
        <f>D66*1.086</f>
        <v>469251.65572876093</v>
      </c>
      <c r="E70" s="2">
        <f>E66*1.086</f>
        <v>43117.531498742399</v>
      </c>
      <c r="F70" s="2"/>
      <c r="G70" s="2"/>
      <c r="H70" s="2">
        <f>D70+E70+F70+G70</f>
        <v>512369.18722750334</v>
      </c>
    </row>
    <row r="71" spans="1:10" x14ac:dyDescent="0.25">
      <c r="A71" s="103"/>
      <c r="B71" s="104" t="s">
        <v>81</v>
      </c>
      <c r="C71" s="105" t="s">
        <v>181</v>
      </c>
      <c r="D71" s="2"/>
      <c r="E71" s="2"/>
      <c r="F71" s="2"/>
      <c r="G71" s="2">
        <f>G66*1.073</f>
        <v>0</v>
      </c>
      <c r="H71" s="2">
        <f t="shared" ref="H71:H72" si="16">D71+E71+F71+G71</f>
        <v>0</v>
      </c>
    </row>
    <row r="72" spans="1:10" x14ac:dyDescent="0.25">
      <c r="A72" s="103"/>
      <c r="B72" s="104" t="s">
        <v>83</v>
      </c>
      <c r="C72" s="105" t="s">
        <v>182</v>
      </c>
      <c r="D72" s="2"/>
      <c r="E72" s="2"/>
      <c r="F72" s="2">
        <f>F66*1.076</f>
        <v>23610.088706735365</v>
      </c>
      <c r="G72" s="2"/>
      <c r="H72" s="2">
        <f t="shared" si="16"/>
        <v>23610.088706735365</v>
      </c>
    </row>
    <row r="73" spans="1:10" x14ac:dyDescent="0.25">
      <c r="A73" s="103"/>
      <c r="B73" s="104"/>
      <c r="C73" s="105" t="s">
        <v>87</v>
      </c>
      <c r="D73" s="2">
        <f>D70+D71+D72</f>
        <v>469251.65572876093</v>
      </c>
      <c r="E73" s="2">
        <f t="shared" ref="E73:H73" si="17">E70+E71+E72</f>
        <v>43117.531498742399</v>
      </c>
      <c r="F73" s="2">
        <f>F70+F71+F72</f>
        <v>23610.088706735365</v>
      </c>
      <c r="G73" s="2">
        <f t="shared" si="17"/>
        <v>0</v>
      </c>
      <c r="H73" s="2">
        <f t="shared" si="17"/>
        <v>535979.27593423869</v>
      </c>
      <c r="J73" s="4"/>
    </row>
    <row r="74" spans="1:10" x14ac:dyDescent="0.25">
      <c r="A74" s="114" t="s">
        <v>55</v>
      </c>
      <c r="B74" s="115"/>
      <c r="C74" s="115"/>
      <c r="D74" s="115"/>
      <c r="E74" s="115"/>
      <c r="F74" s="115"/>
      <c r="G74" s="115"/>
      <c r="H74" s="120"/>
    </row>
    <row r="75" spans="1:10" ht="30" x14ac:dyDescent="0.25">
      <c r="A75" s="103">
        <v>27</v>
      </c>
      <c r="B75" s="104" t="s">
        <v>56</v>
      </c>
      <c r="C75" s="104" t="s">
        <v>78</v>
      </c>
      <c r="D75" s="3">
        <f>D73*0.01</f>
        <v>4692.5165572876094</v>
      </c>
      <c r="E75" s="3">
        <f>E73*0.01</f>
        <v>431.17531498742397</v>
      </c>
      <c r="F75" s="3">
        <f>F73*0.01</f>
        <v>236.10088706735365</v>
      </c>
      <c r="G75" s="3">
        <f>G73*0.01</f>
        <v>0</v>
      </c>
      <c r="H75" s="3">
        <f>H73*0.01</f>
        <v>5359.7927593423874</v>
      </c>
    </row>
    <row r="76" spans="1:10" x14ac:dyDescent="0.25">
      <c r="A76" s="103"/>
      <c r="B76" s="104"/>
      <c r="C76" s="104" t="s">
        <v>57</v>
      </c>
      <c r="D76" s="3">
        <f>D75</f>
        <v>4692.5165572876094</v>
      </c>
      <c r="E76" s="3">
        <f t="shared" ref="E76:H76" si="18">E75</f>
        <v>431.17531498742397</v>
      </c>
      <c r="F76" s="3">
        <f t="shared" si="18"/>
        <v>236.10088706735365</v>
      </c>
      <c r="G76" s="3">
        <f t="shared" si="18"/>
        <v>0</v>
      </c>
      <c r="H76" s="3">
        <f t="shared" si="18"/>
        <v>5359.7927593423874</v>
      </c>
    </row>
    <row r="77" spans="1:10" ht="29.25" x14ac:dyDescent="0.25">
      <c r="A77" s="103">
        <v>28</v>
      </c>
      <c r="B77" s="104"/>
      <c r="C77" s="16" t="s">
        <v>151</v>
      </c>
      <c r="D77" s="2">
        <f>D73+D76</f>
        <v>473944.17228604853</v>
      </c>
      <c r="E77" s="2">
        <f>E73+E76</f>
        <v>43548.706813729827</v>
      </c>
      <c r="F77" s="2">
        <f>F73+F76</f>
        <v>23846.189593802719</v>
      </c>
      <c r="G77" s="2">
        <f>G73+G76</f>
        <v>0</v>
      </c>
      <c r="H77" s="2">
        <f>H73+H76</f>
        <v>541339.06869358104</v>
      </c>
      <c r="J77" s="108"/>
    </row>
    <row r="78" spans="1:10" x14ac:dyDescent="0.25">
      <c r="A78" s="17"/>
      <c r="B78" s="18"/>
      <c r="C78" s="19"/>
      <c r="D78" s="20"/>
      <c r="E78" s="20"/>
      <c r="F78" s="20"/>
      <c r="G78" s="20"/>
      <c r="H78" s="20"/>
    </row>
    <row r="79" spans="1:10" ht="60" customHeight="1" x14ac:dyDescent="0.25">
      <c r="A79" s="24"/>
      <c r="B79" s="24"/>
      <c r="C79" s="29" t="s">
        <v>100</v>
      </c>
      <c r="D79" s="24"/>
      <c r="E79" s="25" t="s">
        <v>111</v>
      </c>
      <c r="F79" s="25" t="s">
        <v>101</v>
      </c>
      <c r="G79" s="25" t="s">
        <v>102</v>
      </c>
      <c r="H79" s="25" t="s">
        <v>103</v>
      </c>
    </row>
    <row r="80" spans="1:10" x14ac:dyDescent="0.25">
      <c r="A80" s="24"/>
      <c r="B80" s="24"/>
      <c r="C80" s="26" t="s">
        <v>133</v>
      </c>
      <c r="D80" s="26"/>
      <c r="E80" s="26"/>
      <c r="F80" s="27">
        <f>H77</f>
        <v>541339.06869358104</v>
      </c>
      <c r="G80" s="27"/>
      <c r="H80" s="32"/>
    </row>
    <row r="81" spans="1:14" x14ac:dyDescent="0.25">
      <c r="A81" s="24"/>
      <c r="B81" s="24" t="s">
        <v>88</v>
      </c>
      <c r="C81" s="24" t="s">
        <v>89</v>
      </c>
      <c r="D81" s="24"/>
      <c r="E81" s="24">
        <v>2014</v>
      </c>
      <c r="F81" s="100">
        <v>0</v>
      </c>
      <c r="G81" s="100">
        <f>F81*1.058</f>
        <v>0</v>
      </c>
      <c r="H81" s="101">
        <f>G81*1.18</f>
        <v>0</v>
      </c>
    </row>
    <row r="82" spans="1:14" x14ac:dyDescent="0.25">
      <c r="A82" s="24"/>
      <c r="B82" s="24"/>
      <c r="C82" s="24" t="s">
        <v>90</v>
      </c>
      <c r="D82" s="24"/>
      <c r="E82" s="24">
        <v>2015</v>
      </c>
      <c r="F82" s="100">
        <v>108695.76300000001</v>
      </c>
      <c r="G82" s="100">
        <f>F82*1.058*1.062</f>
        <v>122130.12452374802</v>
      </c>
      <c r="H82" s="101">
        <f t="shared" ref="H82:H85" si="19">G82*1.18</f>
        <v>144113.54693802266</v>
      </c>
      <c r="J82" s="4"/>
    </row>
    <row r="83" spans="1:14" x14ac:dyDescent="0.25">
      <c r="A83" s="24"/>
      <c r="B83" s="24"/>
      <c r="C83" s="24" t="s">
        <v>92</v>
      </c>
      <c r="D83" s="24"/>
      <c r="E83" s="24">
        <v>2016</v>
      </c>
      <c r="F83" s="100">
        <f>197195.98+20000</f>
        <v>217195.98</v>
      </c>
      <c r="G83" s="100">
        <f>F83*1.058*1.062*1.065</f>
        <v>259903.16907644522</v>
      </c>
      <c r="H83" s="101">
        <f t="shared" si="19"/>
        <v>306685.73951020534</v>
      </c>
    </row>
    <row r="84" spans="1:14" x14ac:dyDescent="0.25">
      <c r="A84" s="24"/>
      <c r="B84" s="24" t="s">
        <v>93</v>
      </c>
      <c r="C84" s="24" t="s">
        <v>91</v>
      </c>
      <c r="D84" s="24"/>
      <c r="E84" s="24">
        <v>2017</v>
      </c>
      <c r="F84" s="100">
        <f>200447.328+15000</f>
        <v>215447.32800000001</v>
      </c>
      <c r="G84" s="100">
        <f>F84*1.058*1.062*1.065*1.039</f>
        <v>267865.29661177978</v>
      </c>
      <c r="H84" s="101">
        <f t="shared" si="19"/>
        <v>316081.05000190012</v>
      </c>
      <c r="K84" s="4"/>
    </row>
    <row r="85" spans="1:14" x14ac:dyDescent="0.25">
      <c r="A85" s="24"/>
      <c r="B85" s="24"/>
      <c r="C85" s="24" t="s">
        <v>175</v>
      </c>
      <c r="D85" s="24"/>
      <c r="E85" s="24">
        <v>2018</v>
      </c>
      <c r="F85" s="102">
        <v>0</v>
      </c>
      <c r="G85" s="100">
        <f>F85*1.058*1.062*1.065*1.039*1.034</f>
        <v>0</v>
      </c>
      <c r="H85" s="101">
        <f t="shared" si="19"/>
        <v>0</v>
      </c>
    </row>
    <row r="86" spans="1:14" x14ac:dyDescent="0.25">
      <c r="A86" s="24">
        <v>29</v>
      </c>
      <c r="B86" s="24"/>
      <c r="C86" s="26" t="s">
        <v>113</v>
      </c>
      <c r="D86" s="26"/>
      <c r="E86" s="26"/>
      <c r="F86" s="27">
        <f>SUM(F81:F85)</f>
        <v>541339.071</v>
      </c>
      <c r="G86" s="27">
        <f>SUM(G81:G85)</f>
        <v>649898.59021197306</v>
      </c>
      <c r="H86" s="36">
        <f>SUM(H81:H85)</f>
        <v>766880.33645012812</v>
      </c>
      <c r="K86" s="4"/>
      <c r="L86" s="4"/>
    </row>
    <row r="87" spans="1:14" hidden="1" x14ac:dyDescent="0.25">
      <c r="A87" s="24"/>
      <c r="B87" s="24"/>
      <c r="C87" s="24"/>
      <c r="D87" s="24"/>
      <c r="E87" s="24"/>
      <c r="F87" s="24"/>
      <c r="G87" s="24"/>
      <c r="H87" s="30"/>
      <c r="K87" s="4"/>
      <c r="N87" s="4"/>
    </row>
    <row r="88" spans="1:14" ht="75" hidden="1" customHeight="1" x14ac:dyDescent="0.25">
      <c r="A88" s="57">
        <v>30</v>
      </c>
      <c r="B88" s="57"/>
      <c r="C88" s="70" t="s">
        <v>146</v>
      </c>
      <c r="D88" s="57"/>
      <c r="E88" s="57">
        <v>2014</v>
      </c>
      <c r="F88" s="71">
        <f>(F16+F17+F18+F19+F20+F21+F28+F31+F32)*1.076</f>
        <v>49022.007561199047</v>
      </c>
      <c r="G88" s="71"/>
      <c r="H88" s="71"/>
    </row>
    <row r="89" spans="1:14" hidden="1" x14ac:dyDescent="0.25">
      <c r="A89" s="57"/>
      <c r="B89" s="57"/>
      <c r="C89" s="72" t="s">
        <v>153</v>
      </c>
      <c r="D89" s="57"/>
      <c r="E89" s="57"/>
      <c r="F89" s="71"/>
      <c r="G89" s="71"/>
      <c r="H89" s="71"/>
    </row>
    <row r="90" spans="1:14" hidden="1" x14ac:dyDescent="0.25">
      <c r="A90" s="57"/>
      <c r="B90" s="57"/>
      <c r="C90" s="72" t="s">
        <v>134</v>
      </c>
      <c r="D90" s="57"/>
      <c r="E90" s="57">
        <v>2016</v>
      </c>
      <c r="F90" s="71">
        <f>F88-F91</f>
        <v>16123.823638000322</v>
      </c>
      <c r="G90" s="71">
        <f>F90*1.058*1.062*1.065</f>
        <v>19294.246887746183</v>
      </c>
      <c r="H90" s="71">
        <f>G90*1.18</f>
        <v>22767.211327540495</v>
      </c>
    </row>
    <row r="91" spans="1:14" ht="30" hidden="1" x14ac:dyDescent="0.25">
      <c r="A91" s="57"/>
      <c r="B91" s="57"/>
      <c r="C91" s="72" t="s">
        <v>140</v>
      </c>
      <c r="D91" s="57"/>
      <c r="E91" s="57">
        <v>2017</v>
      </c>
      <c r="F91" s="71">
        <f>F16*1.076+F28*1.076</f>
        <v>32898.183923198725</v>
      </c>
      <c r="G91" s="71">
        <f>F91*1.058*1.062*1.065*1.039</f>
        <v>40902.256140194557</v>
      </c>
      <c r="H91" s="71">
        <f>G91*1.18</f>
        <v>48264.662245429572</v>
      </c>
    </row>
    <row r="92" spans="1:14" hidden="1" x14ac:dyDescent="0.25">
      <c r="A92" s="57">
        <v>31</v>
      </c>
      <c r="B92" s="57"/>
      <c r="C92" s="46" t="s">
        <v>152</v>
      </c>
      <c r="D92" s="44"/>
      <c r="E92" s="44"/>
      <c r="F92" s="27">
        <f>F90+F91</f>
        <v>49022.007561199047</v>
      </c>
      <c r="G92" s="27">
        <f>G90+G91</f>
        <v>60196.503027940737</v>
      </c>
      <c r="H92" s="27">
        <f>H90+H91</f>
        <v>71031.873572970071</v>
      </c>
    </row>
    <row r="93" spans="1:14" hidden="1" x14ac:dyDescent="0.25">
      <c r="A93" s="24"/>
      <c r="B93" s="24"/>
      <c r="C93" s="45"/>
      <c r="D93" s="24"/>
      <c r="E93" s="24"/>
      <c r="F93" s="24"/>
      <c r="G93" s="24"/>
      <c r="H93" s="24"/>
    </row>
    <row r="94" spans="1:14" ht="30" hidden="1" x14ac:dyDescent="0.25">
      <c r="A94" s="24"/>
      <c r="B94" s="24"/>
      <c r="C94" s="46" t="s">
        <v>121</v>
      </c>
      <c r="D94" s="44"/>
      <c r="E94" s="44"/>
      <c r="F94" s="61">
        <f>1206.35*1.064</f>
        <v>1283.5563999999999</v>
      </c>
      <c r="G94" s="62">
        <f>F94/4*1.058+F94/4*1.058*1.062+F94/4*1.058*1.062*1.065+F94/4*1.058*1.062*1.065*1.039</f>
        <v>1482.9966897790396</v>
      </c>
      <c r="H94" s="62">
        <f>G94*1.18</f>
        <v>1749.9360939392666</v>
      </c>
    </row>
    <row r="95" spans="1:14" hidden="1" x14ac:dyDescent="0.25">
      <c r="A95" s="24"/>
      <c r="B95" s="24"/>
      <c r="C95" s="45"/>
      <c r="D95" s="24"/>
      <c r="E95" s="24"/>
      <c r="F95" s="24"/>
      <c r="G95" s="24"/>
      <c r="H95" s="24"/>
    </row>
    <row r="96" spans="1:14" hidden="1" x14ac:dyDescent="0.25">
      <c r="A96" s="74"/>
      <c r="B96" s="74" t="s">
        <v>119</v>
      </c>
      <c r="C96" s="47" t="s">
        <v>118</v>
      </c>
      <c r="D96" s="45"/>
      <c r="E96" s="45"/>
      <c r="F96" s="45"/>
      <c r="G96" s="45"/>
      <c r="H96" s="30"/>
    </row>
    <row r="97" spans="1:8" ht="30" hidden="1" x14ac:dyDescent="0.25">
      <c r="A97" s="24">
        <v>32</v>
      </c>
      <c r="B97" s="24"/>
      <c r="C97" s="48" t="s">
        <v>114</v>
      </c>
      <c r="D97" s="49"/>
      <c r="E97" s="50">
        <v>2017</v>
      </c>
      <c r="F97" s="51">
        <f>(467.54+19070.15)*1.086+37537.37*1.076+4752.06*1.086</f>
        <v>66768.878620000003</v>
      </c>
      <c r="G97" s="51">
        <f>F97*1.058*1.062*1.065*1.039</f>
        <v>83013.633271804705</v>
      </c>
      <c r="H97" s="30">
        <f>G97*1.18</f>
        <v>97956.087260729546</v>
      </c>
    </row>
    <row r="98" spans="1:8" hidden="1" x14ac:dyDescent="0.25">
      <c r="A98" s="24">
        <v>33</v>
      </c>
      <c r="B98" s="24"/>
      <c r="C98" s="48" t="s">
        <v>120</v>
      </c>
      <c r="D98" s="49"/>
      <c r="E98" s="50">
        <v>2017</v>
      </c>
      <c r="F98" s="51">
        <f>116.33*1.064</f>
        <v>123.77512</v>
      </c>
      <c r="G98" s="51">
        <f>F98*1.058*1.062*1.065*1.039</f>
        <v>153.88939626096752</v>
      </c>
      <c r="H98" s="30">
        <f>G98*1.18</f>
        <v>181.58948758794165</v>
      </c>
    </row>
    <row r="99" spans="1:8" hidden="1" x14ac:dyDescent="0.25">
      <c r="A99" s="24">
        <v>34</v>
      </c>
      <c r="B99" s="24"/>
      <c r="C99" s="49" t="s">
        <v>115</v>
      </c>
      <c r="D99" s="49"/>
      <c r="E99" s="50">
        <v>2017</v>
      </c>
      <c r="F99" s="51">
        <f>(1514.86*1.086+4212.44*1.076+338.59*1.086)*1.01</f>
        <v>6610.8864614000004</v>
      </c>
      <c r="G99" s="51">
        <f t="shared" ref="G99:G100" si="20">F99*1.058*1.062*1.065*1.039</f>
        <v>8219.3038980261117</v>
      </c>
      <c r="H99" s="30">
        <f t="shared" ref="H99:H100" si="21">G99*1.18</f>
        <v>9698.7785996708117</v>
      </c>
    </row>
    <row r="100" spans="1:8" hidden="1" x14ac:dyDescent="0.25">
      <c r="A100" s="24">
        <v>35</v>
      </c>
      <c r="B100" s="24"/>
      <c r="C100" s="49" t="s">
        <v>116</v>
      </c>
      <c r="D100" s="49"/>
      <c r="E100" s="50">
        <v>2017</v>
      </c>
      <c r="F100" s="51">
        <f>(688.45*1.086+1348.05*1.076+476.3*1.086)*1.01</f>
        <v>2742.5745029999998</v>
      </c>
      <c r="G100" s="51">
        <f t="shared" si="20"/>
        <v>3409.8382168192838</v>
      </c>
      <c r="H100" s="30">
        <f t="shared" si="21"/>
        <v>4023.6090958467548</v>
      </c>
    </row>
    <row r="101" spans="1:8" hidden="1" x14ac:dyDescent="0.25">
      <c r="A101" s="24"/>
      <c r="B101" s="24"/>
      <c r="C101" s="52" t="s">
        <v>87</v>
      </c>
      <c r="D101" s="52"/>
      <c r="E101" s="53"/>
      <c r="F101" s="54">
        <f>F97+F99+F100</f>
        <v>76122.339584400004</v>
      </c>
      <c r="G101" s="54">
        <f t="shared" ref="G101" si="22">G97+G99+G100</f>
        <v>94642.775386650086</v>
      </c>
      <c r="H101" s="54">
        <f>H97+H98+H99+H100</f>
        <v>111860.06444383506</v>
      </c>
    </row>
    <row r="102" spans="1:8" hidden="1" x14ac:dyDescent="0.25">
      <c r="A102" s="24"/>
      <c r="B102" s="24"/>
      <c r="C102" s="24"/>
      <c r="D102" s="24"/>
      <c r="E102" s="24"/>
      <c r="F102" s="55"/>
      <c r="G102" s="56"/>
      <c r="H102" s="30"/>
    </row>
    <row r="103" spans="1:8" hidden="1" x14ac:dyDescent="0.25">
      <c r="A103" s="24"/>
      <c r="B103" s="24"/>
      <c r="C103" s="26" t="s">
        <v>117</v>
      </c>
      <c r="D103" s="26"/>
      <c r="E103" s="26"/>
      <c r="F103" s="27">
        <f>F86+F88+F94+F101</f>
        <v>667766.97454559896</v>
      </c>
      <c r="G103" s="27">
        <f>G86+G88+G94+G101</f>
        <v>746024.36228840216</v>
      </c>
      <c r="H103" s="27">
        <f>H86+H92+H94+H101</f>
        <v>951522.21056087245</v>
      </c>
    </row>
    <row r="104" spans="1:8" hidden="1" x14ac:dyDescent="0.25">
      <c r="A104" s="97"/>
      <c r="B104" s="97"/>
      <c r="C104" s="98" t="s">
        <v>174</v>
      </c>
      <c r="D104" s="98"/>
      <c r="E104" s="98"/>
      <c r="F104" s="99"/>
      <c r="G104" s="99"/>
      <c r="H104" s="99">
        <f>H86+I19</f>
        <v>791550.06645547459</v>
      </c>
    </row>
    <row r="105" spans="1:8" hidden="1" x14ac:dyDescent="0.25">
      <c r="A105" s="24"/>
      <c r="B105" s="24"/>
      <c r="C105" s="96"/>
      <c r="D105" s="96"/>
      <c r="E105" s="96"/>
      <c r="F105" s="71"/>
      <c r="G105" s="71"/>
      <c r="H105" s="71"/>
    </row>
    <row r="106" spans="1:8" hidden="1" x14ac:dyDescent="0.25">
      <c r="A106" s="24"/>
      <c r="B106" s="24"/>
      <c r="C106" s="24"/>
      <c r="D106" s="24"/>
      <c r="E106" s="24"/>
      <c r="F106" s="24"/>
      <c r="G106" s="24"/>
      <c r="H106" s="30"/>
    </row>
    <row r="107" spans="1:8" hidden="1" x14ac:dyDescent="0.25">
      <c r="A107" s="24">
        <v>36</v>
      </c>
      <c r="B107" s="57"/>
      <c r="C107" s="63" t="s">
        <v>122</v>
      </c>
      <c r="D107" s="57"/>
      <c r="E107" s="57"/>
      <c r="F107" s="57"/>
      <c r="G107" s="57"/>
      <c r="H107" s="57"/>
    </row>
    <row r="108" spans="1:8" ht="31.5" hidden="1" customHeight="1" x14ac:dyDescent="0.25">
      <c r="A108" s="24"/>
      <c r="B108" s="45" t="s">
        <v>127</v>
      </c>
      <c r="C108" s="45" t="s">
        <v>124</v>
      </c>
      <c r="D108" s="24"/>
      <c r="E108" s="24"/>
      <c r="F108" s="24"/>
      <c r="G108" s="24"/>
      <c r="H108" s="28">
        <v>16894.382000000001</v>
      </c>
    </row>
    <row r="109" spans="1:8" ht="45" hidden="1" customHeight="1" x14ac:dyDescent="0.25">
      <c r="A109" s="24"/>
      <c r="B109" s="45" t="s">
        <v>128</v>
      </c>
      <c r="C109" s="45" t="s">
        <v>125</v>
      </c>
      <c r="D109" s="24"/>
      <c r="E109" s="24"/>
      <c r="F109" s="24"/>
      <c r="G109" s="24"/>
      <c r="H109" s="28">
        <f>1929.3+495.6</f>
        <v>2424.9</v>
      </c>
    </row>
    <row r="110" spans="1:8" ht="30" hidden="1" x14ac:dyDescent="0.25">
      <c r="A110" s="24"/>
      <c r="B110" s="45" t="s">
        <v>130</v>
      </c>
      <c r="C110" s="45" t="s">
        <v>129</v>
      </c>
      <c r="D110" s="24"/>
      <c r="E110" s="24"/>
      <c r="F110" s="24"/>
      <c r="G110" s="24"/>
      <c r="H110" s="28">
        <f>1479.339+3186.989+45539.12</f>
        <v>50205.448000000004</v>
      </c>
    </row>
    <row r="111" spans="1:8" hidden="1" x14ac:dyDescent="0.25">
      <c r="A111" s="24"/>
      <c r="B111" s="45" t="s">
        <v>131</v>
      </c>
      <c r="C111" s="45" t="s">
        <v>126</v>
      </c>
      <c r="D111" s="24"/>
      <c r="E111" s="24"/>
      <c r="F111" s="24"/>
      <c r="G111" s="24"/>
      <c r="H111" s="28">
        <v>1009.304</v>
      </c>
    </row>
    <row r="112" spans="1:8" ht="45" hidden="1" x14ac:dyDescent="0.25">
      <c r="A112" s="24"/>
      <c r="B112" s="45" t="s">
        <v>132</v>
      </c>
      <c r="C112" s="45" t="s">
        <v>142</v>
      </c>
      <c r="D112" s="24"/>
      <c r="E112" s="24"/>
      <c r="F112" s="24"/>
      <c r="G112" s="24"/>
      <c r="H112" s="28">
        <f>308.842+226.005</f>
        <v>534.84699999999998</v>
      </c>
    </row>
    <row r="113" spans="1:9" ht="45" hidden="1" x14ac:dyDescent="0.25">
      <c r="A113" s="24"/>
      <c r="B113" s="45" t="s">
        <v>132</v>
      </c>
      <c r="C113" s="60" t="s">
        <v>143</v>
      </c>
      <c r="D113" s="24"/>
      <c r="E113" s="24"/>
      <c r="F113" s="24"/>
      <c r="G113" s="24"/>
      <c r="H113" s="28">
        <f>216.372+180.211</f>
        <v>396.58300000000003</v>
      </c>
    </row>
    <row r="114" spans="1:9" ht="45" hidden="1" x14ac:dyDescent="0.25">
      <c r="A114" s="24"/>
      <c r="B114" s="45" t="s">
        <v>132</v>
      </c>
      <c r="C114" s="45" t="s">
        <v>144</v>
      </c>
      <c r="D114" s="24"/>
      <c r="E114" s="24"/>
      <c r="F114" s="24"/>
      <c r="G114" s="24"/>
      <c r="H114" s="28">
        <v>0.6</v>
      </c>
    </row>
    <row r="115" spans="1:9" hidden="1" x14ac:dyDescent="0.25">
      <c r="A115" s="24"/>
      <c r="B115" s="45"/>
      <c r="C115" s="45" t="s">
        <v>141</v>
      </c>
      <c r="D115" s="24"/>
      <c r="E115" s="24"/>
      <c r="F115" s="24"/>
      <c r="G115" s="24"/>
      <c r="H115" s="28">
        <v>8682.44</v>
      </c>
    </row>
    <row r="116" spans="1:9" hidden="1" x14ac:dyDescent="0.25">
      <c r="A116" s="24"/>
      <c r="B116" s="45"/>
      <c r="C116" s="58" t="s">
        <v>87</v>
      </c>
      <c r="D116" s="58"/>
      <c r="E116" s="58"/>
      <c r="F116" s="58"/>
      <c r="G116" s="58"/>
      <c r="H116" s="59">
        <f>H108+H109+H110+H111+H112+H113+H114+H115</f>
        <v>80148.504000000015</v>
      </c>
      <c r="I116" s="4"/>
    </row>
    <row r="117" spans="1:9" hidden="1" x14ac:dyDescent="0.25">
      <c r="A117" s="24"/>
      <c r="B117" s="45"/>
      <c r="C117" s="24"/>
      <c r="D117" s="24"/>
      <c r="E117" s="24"/>
      <c r="F117" s="24"/>
      <c r="G117" s="24"/>
      <c r="H117" s="24"/>
    </row>
    <row r="118" spans="1:9" hidden="1" x14ac:dyDescent="0.25">
      <c r="A118" s="24"/>
      <c r="B118" s="45"/>
      <c r="C118" s="58" t="s">
        <v>123</v>
      </c>
      <c r="D118" s="58"/>
      <c r="E118" s="58"/>
      <c r="F118" s="58"/>
      <c r="G118" s="58"/>
      <c r="H118" s="59">
        <f>H103+H116</f>
        <v>1031670.7145608724</v>
      </c>
    </row>
    <row r="119" spans="1:9" hidden="1" x14ac:dyDescent="0.25">
      <c r="A119" s="64"/>
      <c r="B119" s="65"/>
      <c r="C119" s="66"/>
      <c r="D119" s="66"/>
      <c r="E119" s="66"/>
      <c r="F119" s="66"/>
      <c r="G119" s="66"/>
      <c r="H119" s="67"/>
    </row>
    <row r="120" spans="1:9" ht="45" hidden="1" x14ac:dyDescent="0.25">
      <c r="B120" s="121" t="s">
        <v>139</v>
      </c>
      <c r="C120" s="24"/>
      <c r="D120" s="106" t="s">
        <v>136</v>
      </c>
      <c r="E120" s="106" t="s">
        <v>137</v>
      </c>
      <c r="F120" s="69" t="s">
        <v>145</v>
      </c>
      <c r="G120" s="106" t="s">
        <v>138</v>
      </c>
      <c r="H120" s="73"/>
    </row>
    <row r="121" spans="1:9" hidden="1" x14ac:dyDescent="0.25">
      <c r="B121" s="121"/>
      <c r="C121" s="28" t="s">
        <v>135</v>
      </c>
      <c r="D121" s="28">
        <v>67577.7</v>
      </c>
      <c r="E121" s="28">
        <f>D121*1.18</f>
        <v>79741.685999999987</v>
      </c>
      <c r="F121" s="28">
        <v>406.81599999999997</v>
      </c>
      <c r="G121" s="28">
        <f>E121+F121</f>
        <v>80148.501999999993</v>
      </c>
      <c r="H121" s="64"/>
      <c r="I121" s="4"/>
    </row>
  </sheetData>
  <mergeCells count="23">
    <mergeCell ref="B120:B121"/>
    <mergeCell ref="A49:H49"/>
    <mergeCell ref="A53:H53"/>
    <mergeCell ref="A59:H59"/>
    <mergeCell ref="B68:C68"/>
    <mergeCell ref="B69:C69"/>
    <mergeCell ref="A74:H74"/>
    <mergeCell ref="A43:H43"/>
    <mergeCell ref="A1:H1"/>
    <mergeCell ref="A2:H2"/>
    <mergeCell ref="A4:A6"/>
    <mergeCell ref="B4:B6"/>
    <mergeCell ref="C4:C6"/>
    <mergeCell ref="D4:H4"/>
    <mergeCell ref="D5:D6"/>
    <mergeCell ref="E5:E6"/>
    <mergeCell ref="F5:F6"/>
    <mergeCell ref="G5:G6"/>
    <mergeCell ref="H5:H6"/>
    <mergeCell ref="A8:H8"/>
    <mergeCell ref="A13:H13"/>
    <mergeCell ref="A24:H24"/>
    <mergeCell ref="A38:H38"/>
  </mergeCells>
  <pageMargins left="0.23622047244094491" right="0.23622047244094491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цена без оборудования Заказчика</vt:lpstr>
      <vt:lpstr>с учетом всех предполаг затрат </vt:lpstr>
      <vt:lpstr>с учет.всех затр с изм.по годам</vt:lpstr>
      <vt:lpstr>'с учет.всех затр с изм.по годам'!Область_печати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Раджабова Ирина Александровна</cp:lastModifiedBy>
  <cp:lastPrinted>2014-09-12T00:07:19Z</cp:lastPrinted>
  <dcterms:created xsi:type="dcterms:W3CDTF">2013-12-09T03:47:33Z</dcterms:created>
  <dcterms:modified xsi:type="dcterms:W3CDTF">2014-09-12T00:16:42Z</dcterms:modified>
</cp:coreProperties>
</file>